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577cccccb5cf123/Documents/Blogs 2026/9 Health Plan Cost Estimater/"/>
    </mc:Choice>
  </mc:AlternateContent>
  <xr:revisionPtr revIDLastSave="54" documentId="8_{DC3074C5-5745-4CE7-B30A-16D2726DE40B}" xr6:coauthVersionLast="47" xr6:coauthVersionMax="47" xr10:uidLastSave="{B58BB24C-4E3F-48E7-A62E-59FA6025D3E7}"/>
  <bookViews>
    <workbookView xWindow="1596" yWindow="240" windowWidth="33312" windowHeight="16164" xr2:uid="{B4BA1B4A-7564-43E9-B299-1A10274838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" i="1" l="1"/>
  <c r="T54" i="1" s="1"/>
  <c r="P6" i="1"/>
  <c r="Q54" i="1" s="1"/>
  <c r="M6" i="1"/>
  <c r="N54" i="1" s="1"/>
  <c r="J6" i="1"/>
  <c r="K54" i="1" s="1"/>
  <c r="G6" i="1"/>
  <c r="H54" i="1" s="1"/>
  <c r="D6" i="1"/>
  <c r="E54" i="1" s="1"/>
  <c r="E20" i="1"/>
  <c r="R30" i="1"/>
  <c r="F42" i="1"/>
  <c r="G44" i="1" l="1"/>
  <c r="H44" i="1" l="1"/>
  <c r="R27" i="1" l="1"/>
  <c r="M30" i="1"/>
  <c r="G30" i="1"/>
  <c r="J30" i="1" s="1"/>
  <c r="N27" i="1"/>
  <c r="K27" i="1"/>
  <c r="M24" i="1"/>
  <c r="N24" i="1" s="1"/>
  <c r="T27" i="1"/>
  <c r="Q27" i="1"/>
  <c r="O27" i="1"/>
  <c r="L27" i="1"/>
  <c r="I27" i="1"/>
  <c r="F27" i="1"/>
  <c r="K30" i="1"/>
  <c r="R24" i="1"/>
  <c r="O24" i="1"/>
  <c r="J24" i="1"/>
  <c r="K24" i="1" s="1"/>
  <c r="F24" i="1"/>
  <c r="R23" i="1"/>
  <c r="O23" i="1"/>
  <c r="L23" i="1"/>
  <c r="I23" i="1"/>
  <c r="F23" i="1"/>
  <c r="R22" i="1"/>
  <c r="O22" i="1"/>
  <c r="L22" i="1"/>
  <c r="I22" i="1"/>
  <c r="F22" i="1"/>
  <c r="R21" i="1"/>
  <c r="O21" i="1"/>
  <c r="L21" i="1"/>
  <c r="I21" i="1"/>
  <c r="F21" i="1"/>
  <c r="R16" i="1"/>
  <c r="O16" i="1"/>
  <c r="L16" i="1"/>
  <c r="I16" i="1"/>
  <c r="F16" i="1"/>
  <c r="R15" i="1"/>
  <c r="O15" i="1"/>
  <c r="L15" i="1"/>
  <c r="I15" i="1"/>
  <c r="F15" i="1"/>
  <c r="R14" i="1"/>
  <c r="O14" i="1"/>
  <c r="L14" i="1"/>
  <c r="I14" i="1"/>
  <c r="F14" i="1"/>
  <c r="R12" i="1"/>
  <c r="O12" i="1"/>
  <c r="L12" i="1"/>
  <c r="I12" i="1"/>
  <c r="F12" i="1"/>
  <c r="R11" i="1"/>
  <c r="O11" i="1"/>
  <c r="L11" i="1"/>
  <c r="I11" i="1"/>
  <c r="F11" i="1"/>
  <c r="R10" i="1"/>
  <c r="O10" i="1"/>
  <c r="L10" i="1"/>
  <c r="I10" i="1"/>
  <c r="F10" i="1"/>
  <c r="E44" i="1"/>
  <c r="E43" i="1"/>
  <c r="E42" i="1"/>
  <c r="E41" i="1"/>
  <c r="S44" i="1"/>
  <c r="P44" i="1"/>
  <c r="M44" i="1"/>
  <c r="J44" i="1"/>
  <c r="R44" i="1"/>
  <c r="R43" i="1"/>
  <c r="T43" i="1" s="1"/>
  <c r="R42" i="1"/>
  <c r="T42" i="1" s="1"/>
  <c r="R41" i="1"/>
  <c r="T41" i="1" s="1"/>
  <c r="O44" i="1"/>
  <c r="O43" i="1"/>
  <c r="Q43" i="1" s="1"/>
  <c r="O42" i="1"/>
  <c r="Q42" i="1" s="1"/>
  <c r="O41" i="1"/>
  <c r="Q41" i="1" s="1"/>
  <c r="L44" i="1"/>
  <c r="L43" i="1"/>
  <c r="N43" i="1" s="1"/>
  <c r="L42" i="1"/>
  <c r="N42" i="1" s="1"/>
  <c r="L41" i="1"/>
  <c r="N41" i="1" s="1"/>
  <c r="I44" i="1"/>
  <c r="I43" i="1"/>
  <c r="K43" i="1" s="1"/>
  <c r="I42" i="1"/>
  <c r="K42" i="1" s="1"/>
  <c r="I41" i="1"/>
  <c r="K41" i="1" s="1"/>
  <c r="F44" i="1"/>
  <c r="F43" i="1"/>
  <c r="F41" i="1"/>
  <c r="H41" i="1" s="1"/>
  <c r="F30" i="1"/>
  <c r="H30" i="1"/>
  <c r="G31" i="1" s="1"/>
  <c r="M27" i="1"/>
  <c r="G27" i="1"/>
  <c r="E24" i="1"/>
  <c r="E23" i="1"/>
  <c r="E22" i="1"/>
  <c r="E21" i="1"/>
  <c r="E30" i="1"/>
  <c r="E27" i="1"/>
  <c r="J27" i="1"/>
  <c r="L30" i="1"/>
  <c r="I30" i="1"/>
  <c r="H27" i="1"/>
  <c r="E38" i="1"/>
  <c r="T30" i="1"/>
  <c r="Q30" i="1"/>
  <c r="T24" i="1"/>
  <c r="T23" i="1"/>
  <c r="T22" i="1"/>
  <c r="T21" i="1"/>
  <c r="T16" i="1"/>
  <c r="T15" i="1"/>
  <c r="T14" i="1"/>
  <c r="T12" i="1"/>
  <c r="T11" i="1"/>
  <c r="T10" i="1"/>
  <c r="Q24" i="1"/>
  <c r="Q23" i="1"/>
  <c r="Q22" i="1"/>
  <c r="Q21" i="1"/>
  <c r="Q16" i="1"/>
  <c r="Q15" i="1"/>
  <c r="Q14" i="1"/>
  <c r="Q12" i="1"/>
  <c r="Q11" i="1"/>
  <c r="Q10" i="1"/>
  <c r="N23" i="1"/>
  <c r="N22" i="1"/>
  <c r="N21" i="1"/>
  <c r="K23" i="1"/>
  <c r="K22" i="1"/>
  <c r="K21" i="1"/>
  <c r="H24" i="1"/>
  <c r="H23" i="1"/>
  <c r="H22" i="1"/>
  <c r="H21" i="1"/>
  <c r="N16" i="1"/>
  <c r="N15" i="1"/>
  <c r="N14" i="1"/>
  <c r="K16" i="1"/>
  <c r="K15" i="1"/>
  <c r="K14" i="1"/>
  <c r="H16" i="1"/>
  <c r="H15" i="1"/>
  <c r="H14" i="1"/>
  <c r="E16" i="1"/>
  <c r="E15" i="1"/>
  <c r="E14" i="1"/>
  <c r="N12" i="1"/>
  <c r="N11" i="1"/>
  <c r="N10" i="1"/>
  <c r="K12" i="1"/>
  <c r="K11" i="1"/>
  <c r="K10" i="1"/>
  <c r="H12" i="1"/>
  <c r="H11" i="1"/>
  <c r="H10" i="1"/>
  <c r="E12" i="1"/>
  <c r="E11" i="1"/>
  <c r="E10" i="1"/>
  <c r="H25" i="1" l="1"/>
  <c r="H43" i="1"/>
  <c r="H38" i="1"/>
  <c r="G50" i="1" s="1"/>
  <c r="H31" i="1"/>
  <c r="G32" i="1"/>
  <c r="D45" i="1"/>
  <c r="E45" i="1" s="1"/>
  <c r="D32" i="1"/>
  <c r="D31" i="1"/>
  <c r="E31" i="1" s="1"/>
  <c r="Q17" i="1"/>
  <c r="J45" i="1"/>
  <c r="K45" i="1" s="1"/>
  <c r="P45" i="1"/>
  <c r="Q45" i="1" s="1"/>
  <c r="S45" i="1"/>
  <c r="T45" i="1" s="1"/>
  <c r="Q44" i="1"/>
  <c r="Q46" i="1" s="1"/>
  <c r="G45" i="1"/>
  <c r="T44" i="1"/>
  <c r="T46" i="1" s="1"/>
  <c r="N30" i="1"/>
  <c r="H17" i="1"/>
  <c r="N17" i="1"/>
  <c r="T17" i="1"/>
  <c r="K17" i="1"/>
  <c r="T25" i="1"/>
  <c r="Q25" i="1"/>
  <c r="K25" i="1"/>
  <c r="N25" i="1"/>
  <c r="N44" i="1"/>
  <c r="M45" i="1"/>
  <c r="K44" i="1"/>
  <c r="K46" i="1" s="1"/>
  <c r="H42" i="1"/>
  <c r="E17" i="1"/>
  <c r="H47" i="1" l="1"/>
  <c r="Q50" i="1"/>
  <c r="T50" i="1"/>
  <c r="H45" i="1"/>
  <c r="H46" i="1"/>
  <c r="H50" i="1" s="1"/>
  <c r="N46" i="1"/>
  <c r="K50" i="1"/>
  <c r="H33" i="1"/>
  <c r="H34" i="1" s="1"/>
  <c r="D46" i="1"/>
  <c r="E47" i="1" s="1"/>
  <c r="D49" i="1" s="1"/>
  <c r="N35" i="1"/>
  <c r="E33" i="1"/>
  <c r="E34" i="1" s="1"/>
  <c r="K35" i="1"/>
  <c r="Q35" i="1"/>
  <c r="T35" i="1"/>
  <c r="N45" i="1"/>
  <c r="N50" i="1" l="1"/>
  <c r="N51" i="1"/>
  <c r="M52" i="1" s="1"/>
  <c r="T36" i="1"/>
  <c r="T51" i="1"/>
  <c r="S52" i="1" s="1"/>
  <c r="Q36" i="1"/>
  <c r="Q51" i="1"/>
  <c r="P52" i="1" s="1"/>
  <c r="K36" i="1"/>
  <c r="K51" i="1"/>
  <c r="J52" i="1" s="1"/>
  <c r="H35" i="1"/>
  <c r="E48" i="1"/>
  <c r="E50" i="1" s="1"/>
  <c r="E35" i="1"/>
  <c r="N36" i="1"/>
  <c r="K53" i="1" l="1"/>
  <c r="K52" i="1"/>
  <c r="Q53" i="1"/>
  <c r="Q52" i="1"/>
  <c r="T53" i="1"/>
  <c r="T52" i="1"/>
  <c r="N53" i="1"/>
  <c r="N52" i="1"/>
  <c r="E51" i="1"/>
  <c r="H51" i="1"/>
  <c r="G52" i="1" s="1"/>
  <c r="E36" i="1"/>
  <c r="E52" i="1" l="1"/>
  <c r="D52" i="1"/>
  <c r="K55" i="1"/>
  <c r="N55" i="1"/>
  <c r="T55" i="1"/>
  <c r="Q55" i="1"/>
  <c r="H52" i="1"/>
  <c r="H53" i="1"/>
  <c r="E53" i="1"/>
  <c r="E55" i="1" s="1"/>
  <c r="H36" i="1"/>
  <c r="H55" i="1" l="1"/>
</calcChain>
</file>

<file path=xl/sharedStrings.xml><?xml version="1.0" encoding="utf-8"?>
<sst xmlns="http://schemas.openxmlformats.org/spreadsheetml/2006/main" count="171" uniqueCount="91">
  <si>
    <t>Bronze 60</t>
  </si>
  <si>
    <t xml:space="preserve"> </t>
  </si>
  <si>
    <t>Services</t>
  </si>
  <si>
    <t>Specialist Visit</t>
  </si>
  <si>
    <t>Urgent Care</t>
  </si>
  <si>
    <t>Emergency Room</t>
  </si>
  <si>
    <t>Laboratory Test</t>
  </si>
  <si>
    <t>X-ray</t>
  </si>
  <si>
    <t>Imaging</t>
  </si>
  <si>
    <t>Diagnostic Test</t>
  </si>
  <si>
    <t>Tier 1 Generic</t>
  </si>
  <si>
    <t>Tier 2</t>
  </si>
  <si>
    <t>Tier 3</t>
  </si>
  <si>
    <t>Outpatient Procedure</t>
  </si>
  <si>
    <t>Deductible</t>
  </si>
  <si>
    <t>Cost</t>
  </si>
  <si>
    <t>Coinsurance</t>
  </si>
  <si>
    <t>Total</t>
  </si>
  <si>
    <t>Office Visits</t>
  </si>
  <si>
    <t>Therapists</t>
  </si>
  <si>
    <t>Primary Care M.D.</t>
  </si>
  <si>
    <t>Nurse Pract., Phys. Asst.</t>
  </si>
  <si>
    <t>4th Specialist visit subject to Deductible</t>
  </si>
  <si>
    <t>Silver 70</t>
  </si>
  <si>
    <t>Monthly Premiums</t>
  </si>
  <si>
    <t>a. Bronze, Part of 3 visit copayment</t>
  </si>
  <si>
    <t>Gold 80 HMO</t>
  </si>
  <si>
    <t>Gold 80 PPO</t>
  </si>
  <si>
    <t>Platinum 90 PPO</t>
  </si>
  <si>
    <t>c. Coinsurance percentage can</t>
  </si>
  <si>
    <t>between 20% to 30% for Gold PPO plans</t>
  </si>
  <si>
    <t>check Evidence of Coverage for percentage</t>
  </si>
  <si>
    <t>Quantity</t>
  </si>
  <si>
    <t>Platinum 90 HMO</t>
  </si>
  <si>
    <t>d. Gold and Platinum plans can have a</t>
  </si>
  <si>
    <t>five day maximum expense.</t>
  </si>
  <si>
    <t>California 2026 Standard Benefit Design Health Plans</t>
  </si>
  <si>
    <t>Pharmacy</t>
  </si>
  <si>
    <t>Days</t>
  </si>
  <si>
    <t>Subtotal</t>
  </si>
  <si>
    <t>c. Silver, Gold 20% up to $250</t>
  </si>
  <si>
    <t>Platinum 10% up to $250</t>
  </si>
  <si>
    <t xml:space="preserve"> b. Bronze T2 -4 maximum $500</t>
  </si>
  <si>
    <t>after deductible met</t>
  </si>
  <si>
    <t>Deductible Eligible</t>
  </si>
  <si>
    <t>Subject to Deductible</t>
  </si>
  <si>
    <t>Deductible Met</t>
  </si>
  <si>
    <t>30-Day Supply (Multi. x 12 for Annual)</t>
  </si>
  <si>
    <t>Maximum Out-of-Pocket  =</t>
  </si>
  <si>
    <t>Sub Total</t>
  </si>
  <si>
    <t>Deductible = $0</t>
  </si>
  <si>
    <t>T4 Max</t>
  </si>
  <si>
    <t>Adjustment</t>
  </si>
  <si>
    <t>$250/mon</t>
  </si>
  <si>
    <t>e. Assumption that if any tier 2, 3, or 4 drug</t>
  </si>
  <si>
    <t>is prescribed, the $450 pharmacy deductible</t>
  </si>
  <si>
    <t>will be met.</t>
  </si>
  <si>
    <t>40% Coin.</t>
  </si>
  <si>
    <t>(Ded. Elig. - Deductible) x 40%</t>
  </si>
  <si>
    <t>Plan + Premiums</t>
  </si>
  <si>
    <t xml:space="preserve"> Deductible</t>
  </si>
  <si>
    <t>N/A</t>
  </si>
  <si>
    <r>
      <t>Specialist Visit</t>
    </r>
    <r>
      <rPr>
        <vertAlign val="superscript"/>
        <sz val="12"/>
        <color theme="1"/>
        <rFont val="Aptos Narrow"/>
        <family val="2"/>
        <scheme val="minor"/>
      </rPr>
      <t>a</t>
    </r>
  </si>
  <si>
    <r>
      <t>Coinsurance</t>
    </r>
    <r>
      <rPr>
        <vertAlign val="superscript"/>
        <sz val="12"/>
        <color rgb="FFFF0000"/>
        <rFont val="Aptos Narrow"/>
        <family val="2"/>
        <scheme val="minor"/>
      </rPr>
      <t>c</t>
    </r>
    <r>
      <rPr>
        <sz val="12"/>
        <color rgb="FFFF0000"/>
        <rFont val="Aptos Narrow"/>
        <family val="2"/>
        <scheme val="minor"/>
      </rPr>
      <t xml:space="preserve"> After Deductible</t>
    </r>
  </si>
  <si>
    <r>
      <t>Inpatient Hospitalization</t>
    </r>
    <r>
      <rPr>
        <vertAlign val="superscript"/>
        <sz val="12"/>
        <color theme="1"/>
        <rFont val="Aptos Narrow"/>
        <family val="2"/>
        <scheme val="minor"/>
      </rPr>
      <t>d</t>
    </r>
  </si>
  <si>
    <r>
      <t>Tier 4</t>
    </r>
    <r>
      <rPr>
        <vertAlign val="superscript"/>
        <sz val="12"/>
        <color theme="1"/>
        <rFont val="Aptos Narrow"/>
        <family val="2"/>
        <scheme val="minor"/>
      </rPr>
      <t>b,c</t>
    </r>
  </si>
  <si>
    <r>
      <t>Deductible</t>
    </r>
    <r>
      <rPr>
        <vertAlign val="superscript"/>
        <sz val="12"/>
        <color rgb="FFFF0000"/>
        <rFont val="Aptos Narrow"/>
        <family val="2"/>
        <scheme val="minor"/>
      </rPr>
      <t>e</t>
    </r>
  </si>
  <si>
    <t>$0 Ded.</t>
  </si>
  <si>
    <t>Copayment</t>
  </si>
  <si>
    <t>Coinsurance after Deductible</t>
  </si>
  <si>
    <t>Bronze</t>
  </si>
  <si>
    <t>Total Health Care Expenses</t>
  </si>
  <si>
    <t>Total Health and Pharmacy</t>
  </si>
  <si>
    <t>Health Care Expense Comparison</t>
  </si>
  <si>
    <t>Health Plan</t>
  </si>
  <si>
    <t>Number of Months Enrolled</t>
  </si>
  <si>
    <t>Premiums Total</t>
  </si>
  <si>
    <t>Total Premiums</t>
  </si>
  <si>
    <r>
      <t>! T2-T5 Limit</t>
    </r>
    <r>
      <rPr>
        <vertAlign val="superscript"/>
        <sz val="12"/>
        <color rgb="FFFF0000"/>
        <rFont val="Aptos Narrow"/>
        <family val="2"/>
        <scheme val="minor"/>
      </rPr>
      <t>b</t>
    </r>
  </si>
  <si>
    <t>Total H.C.E.</t>
  </si>
  <si>
    <t>Rx</t>
  </si>
  <si>
    <t>Total Pharmacy Rx Expenses</t>
  </si>
  <si>
    <t>Totals</t>
  </si>
  <si>
    <t>Yellow cells: quantity of service</t>
  </si>
  <si>
    <t>Green cells: dollar amount</t>
  </si>
  <si>
    <t>When Maximum Out-of-Pocket is met.</t>
  </si>
  <si>
    <t>Are Health &amp; Pharmacy more than MOOP?</t>
  </si>
  <si>
    <t>Gold 80</t>
  </si>
  <si>
    <t>Gold HMO</t>
  </si>
  <si>
    <t>Platinum HMO</t>
  </si>
  <si>
    <t>Platinum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</si>
</sst>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9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vertAlign val="superscript"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vertAlign val="superscript"/>
      <sz val="12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9" tint="-0.499984740745262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theme="4" tint="0.39997558519241921"/>
      </right>
      <top style="thick">
        <color theme="4" tint="0.39997558519241921"/>
      </top>
      <bottom/>
      <diagonal/>
    </border>
    <border>
      <left/>
      <right style="thick">
        <color theme="4" tint="0.39997558519241921"/>
      </right>
      <top/>
      <bottom/>
      <diagonal/>
    </border>
    <border>
      <left/>
      <right style="thick">
        <color theme="4" tint="0.39997558519241921"/>
      </right>
      <top/>
      <bottom style="thin">
        <color indexed="64"/>
      </bottom>
      <diagonal/>
    </border>
    <border>
      <left style="thin">
        <color indexed="64"/>
      </left>
      <right style="thick">
        <color theme="4" tint="0.39997558519241921"/>
      </right>
      <top/>
      <bottom/>
      <diagonal/>
    </border>
    <border>
      <left style="thin">
        <color indexed="64"/>
      </left>
      <right style="thick">
        <color theme="4" tint="0.39997558519241921"/>
      </right>
      <top/>
      <bottom style="thin">
        <color indexed="64"/>
      </bottom>
      <diagonal/>
    </border>
    <border>
      <left/>
      <right/>
      <top/>
      <bottom style="thick">
        <color theme="4" tint="0.39997558519241921"/>
      </bottom>
      <diagonal/>
    </border>
    <border>
      <left style="thin">
        <color indexed="64"/>
      </left>
      <right style="thick">
        <color theme="4" tint="0.399975585192419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4" tint="0.39997558519241921"/>
      </right>
      <top style="thin">
        <color indexed="64"/>
      </top>
      <bottom style="thick">
        <color theme="4" tint="0.39997558519241921"/>
      </bottom>
      <diagonal/>
    </border>
    <border>
      <left/>
      <right/>
      <top style="thin">
        <color indexed="64"/>
      </top>
      <bottom style="thick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4" tint="0.39997558519241921"/>
      </bottom>
      <diagonal/>
    </border>
    <border>
      <left style="thin">
        <color indexed="64"/>
      </left>
      <right style="thick">
        <color theme="4" tint="0.39997558519241921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9" fontId="1" fillId="0" borderId="0" xfId="0" applyNumberFormat="1" applyFont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9" fontId="1" fillId="0" borderId="0" xfId="0" applyNumberFormat="1" applyFont="1"/>
    <xf numFmtId="164" fontId="5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8" fillId="0" borderId="8" xfId="0" applyFont="1" applyBorder="1"/>
    <xf numFmtId="0" fontId="7" fillId="0" borderId="0" xfId="0" applyFont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6" fillId="0" borderId="1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5" xfId="0" applyFont="1" applyBorder="1" applyAlignment="1">
      <alignment horizontal="right" vertical="center"/>
    </xf>
    <xf numFmtId="8" fontId="1" fillId="0" borderId="5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6" fontId="1" fillId="0" borderId="5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164" fontId="1" fillId="8" borderId="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/>
    </xf>
    <xf numFmtId="6" fontId="1" fillId="0" borderId="0" xfId="0" applyNumberFormat="1" applyFont="1" applyAlignment="1">
      <alignment vertical="center"/>
    </xf>
    <xf numFmtId="6" fontId="1" fillId="0" borderId="0" xfId="0" applyNumberFormat="1" applyFont="1" applyAlignment="1">
      <alignment horizontal="right" vertical="center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6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164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9" fontId="1" fillId="0" borderId="0" xfId="0" applyNumberFormat="1" applyFont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1" fillId="4" borderId="6" xfId="0" applyNumberFormat="1" applyFont="1" applyFill="1" applyBorder="1" applyAlignment="1" applyProtection="1">
      <alignment horizontal="center" vertical="center"/>
      <protection locked="0"/>
    </xf>
    <xf numFmtId="164" fontId="1" fillId="4" borderId="0" xfId="0" applyNumberFormat="1" applyFont="1" applyFill="1" applyAlignment="1" applyProtection="1">
      <alignment horizontal="center" vertical="center"/>
      <protection locked="0"/>
    </xf>
    <xf numFmtId="0" fontId="1" fillId="6" borderId="10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9" fontId="1" fillId="5" borderId="9" xfId="0" applyNumberFormat="1" applyFont="1" applyFill="1" applyBorder="1" applyAlignment="1">
      <alignment horizontal="center" vertical="center"/>
    </xf>
    <xf numFmtId="9" fontId="1" fillId="5" borderId="7" xfId="0" applyNumberFormat="1" applyFont="1" applyFill="1" applyBorder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6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0" fontId="1" fillId="3" borderId="8" xfId="0" applyFont="1" applyFill="1" applyBorder="1" applyAlignment="1" applyProtection="1">
      <alignment horizontal="center" vertical="center"/>
      <protection locked="0"/>
    </xf>
    <xf numFmtId="164" fontId="1" fillId="4" borderId="8" xfId="0" applyNumberFormat="1" applyFont="1" applyFill="1" applyBorder="1" applyAlignment="1" applyProtection="1">
      <alignment horizontal="center" vertical="center"/>
      <protection locked="0"/>
    </xf>
    <xf numFmtId="164" fontId="1" fillId="8" borderId="3" xfId="0" applyNumberFormat="1" applyFont="1" applyFill="1" applyBorder="1" applyAlignment="1">
      <alignment horizontal="center" vertical="center"/>
    </xf>
    <xf numFmtId="164" fontId="1" fillId="6" borderId="8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9" fontId="1" fillId="5" borderId="0" xfId="0" applyNumberFormat="1" applyFont="1" applyFill="1" applyAlignment="1">
      <alignment horizontal="center" vertical="center"/>
    </xf>
    <xf numFmtId="164" fontId="1" fillId="5" borderId="0" xfId="0" applyNumberFormat="1" applyFont="1" applyFill="1" applyAlignment="1">
      <alignment horizontal="center" vertical="center"/>
    </xf>
    <xf numFmtId="164" fontId="1" fillId="7" borderId="2" xfId="0" applyNumberFormat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4" fontId="1" fillId="0" borderId="11" xfId="0" applyNumberFormat="1" applyFont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9" fontId="3" fillId="0" borderId="0" xfId="0" applyNumberFormat="1" applyFont="1" applyAlignment="1">
      <alignment horizontal="center" vertical="center"/>
    </xf>
    <xf numFmtId="164" fontId="3" fillId="7" borderId="2" xfId="0" applyNumberFormat="1" applyFont="1" applyFill="1" applyBorder="1" applyAlignment="1">
      <alignment horizontal="center" vertical="center"/>
    </xf>
    <xf numFmtId="9" fontId="1" fillId="8" borderId="4" xfId="0" applyNumberFormat="1" applyFont="1" applyFill="1" applyBorder="1" applyAlignment="1">
      <alignment horizontal="center" vertical="center"/>
    </xf>
    <xf numFmtId="164" fontId="1" fillId="8" borderId="11" xfId="0" applyNumberFormat="1" applyFont="1" applyFill="1" applyBorder="1" applyAlignment="1">
      <alignment horizontal="center" vertical="center"/>
    </xf>
    <xf numFmtId="9" fontId="1" fillId="8" borderId="11" xfId="0" applyNumberFormat="1" applyFont="1" applyFill="1" applyBorder="1" applyAlignment="1">
      <alignment horizontal="center" vertical="center"/>
    </xf>
    <xf numFmtId="0" fontId="1" fillId="3" borderId="11" xfId="0" applyFont="1" applyFill="1" applyBorder="1" applyAlignment="1" applyProtection="1">
      <alignment horizontal="center" vertical="center"/>
      <protection locked="0"/>
    </xf>
    <xf numFmtId="164" fontId="1" fillId="8" borderId="12" xfId="0" applyNumberFormat="1" applyFont="1" applyFill="1" applyBorder="1" applyAlignment="1">
      <alignment horizontal="center" vertical="center"/>
    </xf>
    <xf numFmtId="164" fontId="1" fillId="0" borderId="13" xfId="0" applyNumberFormat="1" applyFont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11" xfId="0" applyFont="1" applyFill="1" applyBorder="1" applyAlignment="1" applyProtection="1">
      <alignment horizontal="center" vertical="center"/>
      <protection locked="0"/>
    </xf>
    <xf numFmtId="164" fontId="6" fillId="0" borderId="8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164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19" xfId="0" applyFont="1" applyBorder="1" applyAlignment="1">
      <alignment horizontal="center" vertical="center"/>
    </xf>
    <xf numFmtId="0" fontId="1" fillId="2" borderId="17" xfId="0" applyFont="1" applyFill="1" applyBorder="1" applyAlignment="1">
      <alignment vertical="center"/>
    </xf>
    <xf numFmtId="164" fontId="3" fillId="0" borderId="20" xfId="0" applyNumberFormat="1" applyFont="1" applyBorder="1" applyAlignment="1">
      <alignment horizontal="center" vertical="center"/>
    </xf>
    <xf numFmtId="0" fontId="1" fillId="0" borderId="16" xfId="0" applyFont="1" applyBorder="1"/>
    <xf numFmtId="164" fontId="1" fillId="7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164" fontId="3" fillId="7" borderId="17" xfId="0" applyNumberFormat="1" applyFont="1" applyFill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/>
    </xf>
    <xf numFmtId="164" fontId="1" fillId="0" borderId="17" xfId="0" applyNumberFormat="1" applyFont="1" applyBorder="1" applyAlignment="1">
      <alignment horizontal="center"/>
    </xf>
    <xf numFmtId="0" fontId="1" fillId="0" borderId="17" xfId="0" applyFont="1" applyBorder="1"/>
    <xf numFmtId="164" fontId="1" fillId="0" borderId="20" xfId="0" applyNumberFormat="1" applyFont="1" applyBorder="1" applyAlignment="1">
      <alignment horizontal="center" vertical="center"/>
    </xf>
    <xf numFmtId="164" fontId="7" fillId="0" borderId="22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164" fontId="6" fillId="0" borderId="21" xfId="0" applyNumberFormat="1" applyFont="1" applyBorder="1" applyAlignment="1">
      <alignment horizontal="center" vertical="center"/>
    </xf>
    <xf numFmtId="0" fontId="1" fillId="3" borderId="6" xfId="0" applyFont="1" applyFill="1" applyBorder="1" applyAlignment="1" applyProtection="1">
      <alignment horizontal="center" vertical="center"/>
      <protection locked="0"/>
    </xf>
    <xf numFmtId="0" fontId="1" fillId="0" borderId="24" xfId="0" applyFont="1" applyBorder="1" applyAlignment="1">
      <alignment horizontal="center"/>
    </xf>
    <xf numFmtId="164" fontId="6" fillId="0" borderId="17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8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64" fontId="1" fillId="5" borderId="18" xfId="0" applyNumberFormat="1" applyFont="1" applyFill="1" applyBorder="1" applyAlignment="1">
      <alignment horizontal="center" vertical="center"/>
    </xf>
    <xf numFmtId="0" fontId="1" fillId="3" borderId="0" xfId="0" applyFont="1" applyFill="1"/>
    <xf numFmtId="0" fontId="1" fillId="4" borderId="0" xfId="0" applyFont="1" applyFill="1"/>
    <xf numFmtId="0" fontId="1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3DBE-97C1-4B6E-81B2-7F1CED793BB4}">
  <dimension ref="B1:W78"/>
  <sheetViews>
    <sheetView tabSelected="1" topLeftCell="B1" zoomScaleNormal="100" workbookViewId="0">
      <pane ySplit="8" topLeftCell="A9" activePane="bottomLeft" state="frozenSplit"/>
      <selection activeCell="G4" sqref="G4"/>
      <selection pane="bottomLeft" activeCell="M4" sqref="M4"/>
    </sheetView>
  </sheetViews>
  <sheetFormatPr defaultRowHeight="15.6" x14ac:dyDescent="0.3"/>
  <cols>
    <col min="1" max="1" width="8.88671875" style="1"/>
    <col min="2" max="2" width="30.5546875" style="1" customWidth="1"/>
    <col min="3" max="3" width="12.88671875" style="2" customWidth="1"/>
    <col min="4" max="5" width="15.77734375" style="2" customWidth="1"/>
    <col min="6" max="6" width="11.33203125" style="2" customWidth="1"/>
    <col min="7" max="8" width="15.77734375" style="2" customWidth="1"/>
    <col min="9" max="9" width="10.77734375" style="2" customWidth="1"/>
    <col min="10" max="10" width="15.88671875" style="2" customWidth="1"/>
    <col min="11" max="11" width="15.77734375" style="2" customWidth="1"/>
    <col min="12" max="12" width="10.77734375" style="2" customWidth="1"/>
    <col min="13" max="14" width="15.77734375" style="2" customWidth="1"/>
    <col min="15" max="15" width="11.109375" style="1" customWidth="1"/>
    <col min="16" max="17" width="15.77734375" style="2" customWidth="1"/>
    <col min="18" max="18" width="10.77734375" style="1" customWidth="1"/>
    <col min="19" max="19" width="17" style="1" customWidth="1"/>
    <col min="20" max="20" width="15.77734375" style="1" customWidth="1"/>
    <col min="21" max="16384" width="8.88671875" style="1"/>
  </cols>
  <sheetData>
    <row r="1" spans="2:20" s="19" customFormat="1" ht="18.600000000000001" customHeight="1" x14ac:dyDescent="0.3">
      <c r="B1" s="19" t="s">
        <v>36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P1" s="7"/>
      <c r="Q1" s="7"/>
    </row>
    <row r="2" spans="2:20" s="19" customFormat="1" ht="18.600000000000001" customHeight="1" x14ac:dyDescent="0.3">
      <c r="B2" s="19" t="s">
        <v>73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P2" s="7"/>
      <c r="Q2" s="7"/>
    </row>
    <row r="3" spans="2:20" s="19" customFormat="1" ht="18.600000000000001" customHeight="1" thickBot="1" x14ac:dyDescent="0.35">
      <c r="B3" s="19" t="s">
        <v>74</v>
      </c>
      <c r="C3" s="99"/>
      <c r="D3" s="7" t="s">
        <v>0</v>
      </c>
      <c r="E3" s="7"/>
      <c r="F3" s="7"/>
      <c r="G3" s="7" t="s">
        <v>23</v>
      </c>
      <c r="H3" s="7"/>
      <c r="I3" s="7"/>
      <c r="J3" s="7" t="s">
        <v>87</v>
      </c>
      <c r="K3" s="7"/>
      <c r="L3" s="7"/>
      <c r="M3" s="7" t="s">
        <v>90</v>
      </c>
      <c r="N3" s="7"/>
      <c r="O3" s="111"/>
      <c r="P3" s="112" t="s">
        <v>88</v>
      </c>
      <c r="Q3" s="112"/>
      <c r="R3" s="111"/>
      <c r="S3" s="111" t="s">
        <v>89</v>
      </c>
      <c r="T3" s="111"/>
    </row>
    <row r="4" spans="2:20" s="19" customFormat="1" ht="18.600000000000001" customHeight="1" thickTop="1" x14ac:dyDescent="0.3">
      <c r="B4" s="19" t="s">
        <v>24</v>
      </c>
      <c r="C4" s="7"/>
      <c r="D4" s="65">
        <v>0</v>
      </c>
      <c r="E4" s="20"/>
      <c r="F4" s="20"/>
      <c r="G4" s="65">
        <v>0</v>
      </c>
      <c r="H4" s="20"/>
      <c r="I4" s="20"/>
      <c r="J4" s="65">
        <v>0</v>
      </c>
      <c r="K4" s="20"/>
      <c r="L4" s="20"/>
      <c r="M4" s="65">
        <v>0</v>
      </c>
      <c r="N4" s="135"/>
      <c r="P4" s="65">
        <v>0</v>
      </c>
      <c r="Q4" s="20"/>
      <c r="S4" s="65">
        <v>0</v>
      </c>
      <c r="T4" s="101"/>
    </row>
    <row r="5" spans="2:20" s="19" customFormat="1" ht="18.600000000000001" customHeight="1" x14ac:dyDescent="0.3">
      <c r="B5" s="19" t="s">
        <v>75</v>
      </c>
      <c r="C5" s="54">
        <v>12</v>
      </c>
      <c r="E5" s="20"/>
      <c r="F5" s="20"/>
      <c r="H5" s="20"/>
      <c r="I5" s="20"/>
      <c r="K5" s="20"/>
      <c r="L5" s="20"/>
      <c r="N5" s="135"/>
      <c r="Q5" s="20"/>
      <c r="T5" s="102"/>
    </row>
    <row r="6" spans="2:20" s="19" customFormat="1" ht="18.600000000000001" customHeight="1" x14ac:dyDescent="0.3">
      <c r="B6" s="27" t="s">
        <v>76</v>
      </c>
      <c r="C6" s="28"/>
      <c r="D6" s="100">
        <f>$C$5*D4</f>
        <v>0</v>
      </c>
      <c r="E6" s="29"/>
      <c r="F6" s="29"/>
      <c r="G6" s="100">
        <f>$C$5*G4</f>
        <v>0</v>
      </c>
      <c r="H6" s="29"/>
      <c r="I6" s="29"/>
      <c r="J6" s="100">
        <f>$C$5*J4</f>
        <v>0</v>
      </c>
      <c r="K6" s="29"/>
      <c r="L6" s="29"/>
      <c r="M6" s="100">
        <f>$C$5*M4</f>
        <v>0</v>
      </c>
      <c r="N6" s="136"/>
      <c r="O6" s="27"/>
      <c r="P6" s="100">
        <f>$C$5*P4</f>
        <v>0</v>
      </c>
      <c r="Q6" s="29"/>
      <c r="R6" s="27"/>
      <c r="S6" s="100">
        <f>$C$5*S4</f>
        <v>0</v>
      </c>
      <c r="T6" s="103"/>
    </row>
    <row r="7" spans="2:20" s="7" customFormat="1" ht="18" customHeight="1" x14ac:dyDescent="0.3">
      <c r="D7" s="7" t="s">
        <v>0</v>
      </c>
      <c r="G7" s="7" t="s">
        <v>23</v>
      </c>
      <c r="J7" s="7" t="s">
        <v>27</v>
      </c>
      <c r="M7" s="7" t="s">
        <v>28</v>
      </c>
      <c r="N7" s="136"/>
      <c r="P7" s="7" t="s">
        <v>26</v>
      </c>
      <c r="S7" s="7" t="s">
        <v>33</v>
      </c>
      <c r="T7" s="135"/>
    </row>
    <row r="8" spans="2:20" ht="18.600000000000001" customHeight="1" x14ac:dyDescent="0.3">
      <c r="B8" s="2" t="s">
        <v>2</v>
      </c>
      <c r="C8" s="2" t="s">
        <v>32</v>
      </c>
      <c r="D8" s="2" t="s">
        <v>15</v>
      </c>
      <c r="E8" s="4" t="s">
        <v>82</v>
      </c>
      <c r="F8" s="2" t="s">
        <v>32</v>
      </c>
      <c r="G8" s="2" t="s">
        <v>15</v>
      </c>
      <c r="H8" s="4" t="s">
        <v>82</v>
      </c>
      <c r="I8" s="2" t="s">
        <v>32</v>
      </c>
      <c r="J8" s="2" t="s">
        <v>15</v>
      </c>
      <c r="K8" s="4" t="s">
        <v>82</v>
      </c>
      <c r="L8" s="2" t="s">
        <v>32</v>
      </c>
      <c r="M8" s="2" t="s">
        <v>15</v>
      </c>
      <c r="N8" s="128" t="s">
        <v>82</v>
      </c>
      <c r="O8" s="2" t="s">
        <v>32</v>
      </c>
      <c r="P8" s="2" t="s">
        <v>15</v>
      </c>
      <c r="Q8" s="4" t="s">
        <v>82</v>
      </c>
      <c r="R8" s="2" t="s">
        <v>32</v>
      </c>
      <c r="S8" s="2" t="s">
        <v>15</v>
      </c>
      <c r="T8" s="128" t="s">
        <v>17</v>
      </c>
    </row>
    <row r="9" spans="2:20" s="19" customFormat="1" ht="18" customHeight="1" x14ac:dyDescent="0.3">
      <c r="B9" s="52" t="s">
        <v>18</v>
      </c>
      <c r="C9" s="7"/>
      <c r="D9" s="20" t="s">
        <v>1</v>
      </c>
      <c r="E9" s="45"/>
      <c r="F9" s="7"/>
      <c r="G9" s="7"/>
      <c r="H9" s="45"/>
      <c r="I9" s="7"/>
      <c r="J9" s="7"/>
      <c r="K9" s="45"/>
      <c r="L9" s="7"/>
      <c r="M9" s="7"/>
      <c r="N9" s="106"/>
      <c r="Q9" s="46"/>
      <c r="T9" s="104"/>
    </row>
    <row r="10" spans="2:20" s="19" customFormat="1" ht="18" customHeight="1" x14ac:dyDescent="0.3">
      <c r="B10" s="53" t="s">
        <v>20</v>
      </c>
      <c r="C10" s="54">
        <v>0</v>
      </c>
      <c r="D10" s="20">
        <v>60</v>
      </c>
      <c r="E10" s="8">
        <f>$C$10*D10</f>
        <v>0</v>
      </c>
      <c r="F10" s="55">
        <f>$C$10</f>
        <v>0</v>
      </c>
      <c r="G10" s="20">
        <v>50</v>
      </c>
      <c r="H10" s="8">
        <f>$C$10*G10</f>
        <v>0</v>
      </c>
      <c r="I10" s="55">
        <f>$C$10</f>
        <v>0</v>
      </c>
      <c r="J10" s="20">
        <v>40</v>
      </c>
      <c r="K10" s="8">
        <f>$C$10*J10</f>
        <v>0</v>
      </c>
      <c r="L10" s="55">
        <f>$C$10</f>
        <v>0</v>
      </c>
      <c r="M10" s="20">
        <v>15</v>
      </c>
      <c r="N10" s="105">
        <f>$C$10*M10</f>
        <v>0</v>
      </c>
      <c r="O10" s="55">
        <f>$C$10</f>
        <v>0</v>
      </c>
      <c r="P10" s="20">
        <v>40</v>
      </c>
      <c r="Q10" s="8">
        <f>$C$10*P10</f>
        <v>0</v>
      </c>
      <c r="R10" s="55">
        <f>$C$10</f>
        <v>0</v>
      </c>
      <c r="S10" s="20">
        <v>15</v>
      </c>
      <c r="T10" s="105">
        <f>$C$10*S10</f>
        <v>0</v>
      </c>
    </row>
    <row r="11" spans="2:20" s="19" customFormat="1" ht="18" customHeight="1" x14ac:dyDescent="0.3">
      <c r="B11" s="53" t="s">
        <v>21</v>
      </c>
      <c r="C11" s="54">
        <v>0</v>
      </c>
      <c r="D11" s="20">
        <v>60</v>
      </c>
      <c r="E11" s="8">
        <f>$C$11*D11</f>
        <v>0</v>
      </c>
      <c r="F11" s="55">
        <f>$C$11</f>
        <v>0</v>
      </c>
      <c r="G11" s="20">
        <v>50</v>
      </c>
      <c r="H11" s="8">
        <f>$C$11*G11</f>
        <v>0</v>
      </c>
      <c r="I11" s="55">
        <f>$C$11</f>
        <v>0</v>
      </c>
      <c r="J11" s="20">
        <v>40</v>
      </c>
      <c r="K11" s="8">
        <f>$C$11*J11</f>
        <v>0</v>
      </c>
      <c r="L11" s="55">
        <f>$C$11</f>
        <v>0</v>
      </c>
      <c r="M11" s="20">
        <v>15</v>
      </c>
      <c r="N11" s="105">
        <f>$C$11*M11</f>
        <v>0</v>
      </c>
      <c r="O11" s="55">
        <f>$C$11</f>
        <v>0</v>
      </c>
      <c r="P11" s="20">
        <v>40</v>
      </c>
      <c r="Q11" s="8">
        <f>$C$11*P11</f>
        <v>0</v>
      </c>
      <c r="R11" s="55">
        <f>$C$11</f>
        <v>0</v>
      </c>
      <c r="S11" s="20">
        <v>15</v>
      </c>
      <c r="T11" s="105">
        <f>$C$11*S11</f>
        <v>0</v>
      </c>
    </row>
    <row r="12" spans="2:20" s="19" customFormat="1" ht="18" customHeight="1" x14ac:dyDescent="0.3">
      <c r="B12" s="53" t="s">
        <v>19</v>
      </c>
      <c r="C12" s="54">
        <v>0</v>
      </c>
      <c r="D12" s="20">
        <v>60</v>
      </c>
      <c r="E12" s="8">
        <f>$C$12*D12</f>
        <v>0</v>
      </c>
      <c r="F12" s="55">
        <f>$C$12</f>
        <v>0</v>
      </c>
      <c r="G12" s="20">
        <v>50</v>
      </c>
      <c r="H12" s="8">
        <f>$C$12*G12</f>
        <v>0</v>
      </c>
      <c r="I12" s="55">
        <f>$C$12</f>
        <v>0</v>
      </c>
      <c r="J12" s="20">
        <v>40</v>
      </c>
      <c r="K12" s="8">
        <f>$C$12*J12</f>
        <v>0</v>
      </c>
      <c r="L12" s="55">
        <f>$C$12</f>
        <v>0</v>
      </c>
      <c r="M12" s="20">
        <v>15</v>
      </c>
      <c r="N12" s="105">
        <f>$C$12*M12</f>
        <v>0</v>
      </c>
      <c r="O12" s="55">
        <f>$C$12</f>
        <v>0</v>
      </c>
      <c r="P12" s="20">
        <v>40</v>
      </c>
      <c r="Q12" s="8">
        <f>$C$12*P12</f>
        <v>0</v>
      </c>
      <c r="R12" s="55">
        <f>$C$12</f>
        <v>0</v>
      </c>
      <c r="S12" s="20">
        <v>15</v>
      </c>
      <c r="T12" s="105">
        <f>$C$12*S12</f>
        <v>0</v>
      </c>
    </row>
    <row r="13" spans="2:20" s="19" customFormat="1" ht="18" customHeight="1" x14ac:dyDescent="0.3">
      <c r="C13" s="7"/>
      <c r="D13" s="20"/>
      <c r="E13" s="45"/>
      <c r="F13" s="7"/>
      <c r="G13" s="20"/>
      <c r="H13" s="45"/>
      <c r="I13" s="7"/>
      <c r="J13" s="20"/>
      <c r="K13" s="45"/>
      <c r="L13" s="7"/>
      <c r="M13" s="20"/>
      <c r="N13" s="106"/>
      <c r="P13" s="7"/>
      <c r="Q13" s="45"/>
      <c r="S13" s="20"/>
      <c r="T13" s="106"/>
    </row>
    <row r="14" spans="2:20" s="19" customFormat="1" ht="18" customHeight="1" x14ac:dyDescent="0.3">
      <c r="B14" s="141" t="s">
        <v>4</v>
      </c>
      <c r="C14" s="54">
        <v>0</v>
      </c>
      <c r="D14" s="20">
        <v>60</v>
      </c>
      <c r="E14" s="8">
        <f>$C$14*D14</f>
        <v>0</v>
      </c>
      <c r="F14" s="55">
        <f>$C$14</f>
        <v>0</v>
      </c>
      <c r="G14" s="20">
        <v>50</v>
      </c>
      <c r="H14" s="8">
        <f>$C$14*G14</f>
        <v>0</v>
      </c>
      <c r="I14" s="55">
        <f>$C$14</f>
        <v>0</v>
      </c>
      <c r="J14" s="20">
        <v>40</v>
      </c>
      <c r="K14" s="8">
        <f>$C$14*J14</f>
        <v>0</v>
      </c>
      <c r="L14" s="55">
        <f>$C$14</f>
        <v>0</v>
      </c>
      <c r="M14" s="20">
        <v>15</v>
      </c>
      <c r="N14" s="105">
        <f>$C$14*M14</f>
        <v>0</v>
      </c>
      <c r="O14" s="55">
        <f>$C$14</f>
        <v>0</v>
      </c>
      <c r="P14" s="20">
        <v>40</v>
      </c>
      <c r="Q14" s="8">
        <f>$C$14*P14</f>
        <v>0</v>
      </c>
      <c r="R14" s="55">
        <f>$C$14</f>
        <v>0</v>
      </c>
      <c r="S14" s="20">
        <v>15</v>
      </c>
      <c r="T14" s="105">
        <f>$C$14*S14</f>
        <v>0</v>
      </c>
    </row>
    <row r="15" spans="2:20" s="19" customFormat="1" ht="18" customHeight="1" x14ac:dyDescent="0.3">
      <c r="B15" s="141" t="s">
        <v>6</v>
      </c>
      <c r="C15" s="54">
        <v>0</v>
      </c>
      <c r="D15" s="20">
        <v>50</v>
      </c>
      <c r="E15" s="8">
        <f>$C$15*D15</f>
        <v>0</v>
      </c>
      <c r="F15" s="55">
        <f>$C$15</f>
        <v>0</v>
      </c>
      <c r="G15" s="20">
        <v>50</v>
      </c>
      <c r="H15" s="8">
        <f>$C$15*G15</f>
        <v>0</v>
      </c>
      <c r="I15" s="55">
        <f>$C$15</f>
        <v>0</v>
      </c>
      <c r="J15" s="20">
        <v>40</v>
      </c>
      <c r="K15" s="8">
        <f>$C$15*J15</f>
        <v>0</v>
      </c>
      <c r="L15" s="55">
        <f>$C$15</f>
        <v>0</v>
      </c>
      <c r="M15" s="20">
        <v>15</v>
      </c>
      <c r="N15" s="105">
        <f>$C$15*M15</f>
        <v>0</v>
      </c>
      <c r="O15" s="55">
        <f>$C$15</f>
        <v>0</v>
      </c>
      <c r="P15" s="20">
        <v>40</v>
      </c>
      <c r="Q15" s="8">
        <f>$C$15*P15</f>
        <v>0</v>
      </c>
      <c r="R15" s="55">
        <f>$C$15</f>
        <v>0</v>
      </c>
      <c r="S15" s="20">
        <v>15</v>
      </c>
      <c r="T15" s="105">
        <f>$C$15*S15</f>
        <v>0</v>
      </c>
    </row>
    <row r="16" spans="2:20" s="19" customFormat="1" ht="18" customHeight="1" x14ac:dyDescent="0.3">
      <c r="B16" s="142" t="s">
        <v>62</v>
      </c>
      <c r="C16" s="76">
        <v>0</v>
      </c>
      <c r="D16" s="29">
        <v>95</v>
      </c>
      <c r="E16" s="24">
        <f>$C$16*D16</f>
        <v>0</v>
      </c>
      <c r="F16" s="67">
        <f>$C$16</f>
        <v>0</v>
      </c>
      <c r="G16" s="29">
        <v>90</v>
      </c>
      <c r="H16" s="24">
        <f>$C$16*G16</f>
        <v>0</v>
      </c>
      <c r="I16" s="67">
        <f>$C$16</f>
        <v>0</v>
      </c>
      <c r="J16" s="29">
        <v>70</v>
      </c>
      <c r="K16" s="24">
        <f>$C$16*J16</f>
        <v>0</v>
      </c>
      <c r="L16" s="67">
        <f>$C$16</f>
        <v>0</v>
      </c>
      <c r="M16" s="29">
        <v>30</v>
      </c>
      <c r="N16" s="107">
        <f>$C$16*M16</f>
        <v>0</v>
      </c>
      <c r="O16" s="67">
        <f>$C$16</f>
        <v>0</v>
      </c>
      <c r="P16" s="29">
        <v>70</v>
      </c>
      <c r="Q16" s="24">
        <f>$C$16*P16</f>
        <v>0</v>
      </c>
      <c r="R16" s="67">
        <f>$C$16</f>
        <v>0</v>
      </c>
      <c r="S16" s="29">
        <v>30</v>
      </c>
      <c r="T16" s="107">
        <f>$C$16*S16</f>
        <v>0</v>
      </c>
    </row>
    <row r="17" spans="2:23" ht="30" customHeight="1" x14ac:dyDescent="0.3">
      <c r="B17" s="12"/>
      <c r="C17" s="28"/>
      <c r="D17" s="28" t="s">
        <v>39</v>
      </c>
      <c r="E17" s="23">
        <f>SUM(E10:E16)</f>
        <v>0</v>
      </c>
      <c r="F17" s="9"/>
      <c r="G17" s="7" t="s">
        <v>39</v>
      </c>
      <c r="H17" s="23">
        <f>SUM(H10:H16)</f>
        <v>0</v>
      </c>
      <c r="I17" s="11"/>
      <c r="J17" s="7" t="s">
        <v>39</v>
      </c>
      <c r="K17" s="23">
        <f>SUM(K10:K16)</f>
        <v>0</v>
      </c>
      <c r="L17" s="11"/>
      <c r="M17" s="7" t="s">
        <v>39</v>
      </c>
      <c r="N17" s="108">
        <f>SUM(N10:N16)</f>
        <v>0</v>
      </c>
      <c r="O17" s="12"/>
      <c r="P17" s="7" t="s">
        <v>39</v>
      </c>
      <c r="Q17" s="23">
        <f>SUM(Q10:Q16)</f>
        <v>0</v>
      </c>
      <c r="R17" s="12"/>
      <c r="S17" s="7" t="s">
        <v>39</v>
      </c>
      <c r="T17" s="108">
        <f>SUM(T10:T16)</f>
        <v>0</v>
      </c>
    </row>
    <row r="18" spans="2:23" s="19" customFormat="1" ht="18" customHeight="1" x14ac:dyDescent="0.3">
      <c r="B18" s="56" t="s">
        <v>70</v>
      </c>
      <c r="C18" s="57" t="s">
        <v>45</v>
      </c>
      <c r="D18" s="7"/>
      <c r="E18" s="8"/>
      <c r="F18" s="7"/>
      <c r="G18" s="58"/>
      <c r="H18" s="45"/>
      <c r="I18" s="7"/>
      <c r="J18" s="59"/>
      <c r="K18" s="45"/>
      <c r="L18" s="7"/>
      <c r="M18" s="60"/>
      <c r="N18" s="106"/>
      <c r="P18" s="59"/>
      <c r="Q18" s="45"/>
      <c r="S18" s="58"/>
      <c r="T18" s="104"/>
    </row>
    <row r="19" spans="2:23" s="19" customFormat="1" ht="18" customHeight="1" x14ac:dyDescent="0.3">
      <c r="B19" s="61" t="s">
        <v>69</v>
      </c>
      <c r="C19" s="62">
        <v>0.4</v>
      </c>
      <c r="D19" s="63">
        <v>5800</v>
      </c>
      <c r="E19" s="45"/>
      <c r="F19" s="7"/>
      <c r="G19" s="58"/>
      <c r="H19" s="45"/>
      <c r="I19" s="7"/>
      <c r="J19" s="59"/>
      <c r="K19" s="45"/>
      <c r="L19" s="7"/>
      <c r="M19" s="60"/>
      <c r="N19" s="106"/>
      <c r="P19" s="59"/>
      <c r="Q19" s="45"/>
      <c r="S19" s="58"/>
      <c r="T19" s="104"/>
    </row>
    <row r="20" spans="2:23" s="19" customFormat="1" ht="18" customHeight="1" x14ac:dyDescent="0.3">
      <c r="B20" s="143" t="s">
        <v>3</v>
      </c>
      <c r="C20" s="95">
        <v>0</v>
      </c>
      <c r="D20" s="64">
        <v>200</v>
      </c>
      <c r="E20" s="8">
        <f t="shared" ref="E20:E24" si="0">C20*D20</f>
        <v>0</v>
      </c>
      <c r="F20" s="7"/>
      <c r="G20" s="58"/>
      <c r="H20" s="45"/>
      <c r="I20" s="7"/>
      <c r="J20" s="59"/>
      <c r="K20" s="45"/>
      <c r="L20" s="7"/>
      <c r="M20" s="60"/>
      <c r="N20" s="106"/>
      <c r="P20" s="59"/>
      <c r="Q20" s="45"/>
      <c r="S20" s="58"/>
      <c r="T20" s="104"/>
    </row>
    <row r="21" spans="2:23" s="19" customFormat="1" ht="18" customHeight="1" x14ac:dyDescent="0.3">
      <c r="B21" s="141" t="s">
        <v>5</v>
      </c>
      <c r="C21" s="95">
        <v>0</v>
      </c>
      <c r="D21" s="65">
        <v>3000</v>
      </c>
      <c r="E21" s="8">
        <f t="shared" si="0"/>
        <v>0</v>
      </c>
      <c r="F21" s="55">
        <f>$C$21</f>
        <v>0</v>
      </c>
      <c r="G21" s="20">
        <v>400</v>
      </c>
      <c r="H21" s="8">
        <f>$C$21*G21</f>
        <v>0</v>
      </c>
      <c r="I21" s="55">
        <f>$C$21</f>
        <v>0</v>
      </c>
      <c r="J21" s="20">
        <v>350</v>
      </c>
      <c r="K21" s="8">
        <f>$C$21*J21</f>
        <v>0</v>
      </c>
      <c r="L21" s="55">
        <f>$C$21</f>
        <v>0</v>
      </c>
      <c r="M21" s="20">
        <v>175</v>
      </c>
      <c r="N21" s="105">
        <f>$C$21*M21</f>
        <v>0</v>
      </c>
      <c r="O21" s="55">
        <f>$C$21</f>
        <v>0</v>
      </c>
      <c r="P21" s="137">
        <v>350</v>
      </c>
      <c r="Q21" s="137">
        <f>$C$21*P21</f>
        <v>0</v>
      </c>
      <c r="R21" s="55">
        <f>$C$21</f>
        <v>0</v>
      </c>
      <c r="S21" s="20">
        <v>175</v>
      </c>
      <c r="T21" s="105">
        <f>$C$21*S21</f>
        <v>0</v>
      </c>
    </row>
    <row r="22" spans="2:23" s="19" customFormat="1" ht="18" customHeight="1" x14ac:dyDescent="0.3">
      <c r="B22" s="141" t="s">
        <v>9</v>
      </c>
      <c r="C22" s="95">
        <v>0</v>
      </c>
      <c r="D22" s="65">
        <v>300</v>
      </c>
      <c r="E22" s="8">
        <f t="shared" si="0"/>
        <v>0</v>
      </c>
      <c r="F22" s="55">
        <f>$C$22</f>
        <v>0</v>
      </c>
      <c r="G22" s="20">
        <v>95</v>
      </c>
      <c r="H22" s="8">
        <f>$C$22*G22</f>
        <v>0</v>
      </c>
      <c r="I22" s="55">
        <f>$C$22</f>
        <v>0</v>
      </c>
      <c r="J22" s="20">
        <v>75</v>
      </c>
      <c r="K22" s="8">
        <f>$C$22*J22</f>
        <v>0</v>
      </c>
      <c r="L22" s="55">
        <f>$C$22</f>
        <v>0</v>
      </c>
      <c r="M22" s="20">
        <v>30</v>
      </c>
      <c r="N22" s="105">
        <f>$C$22*M22</f>
        <v>0</v>
      </c>
      <c r="O22" s="55">
        <f>$C$22</f>
        <v>0</v>
      </c>
      <c r="P22" s="137">
        <v>75</v>
      </c>
      <c r="Q22" s="137">
        <f>$C$22*P22</f>
        <v>0</v>
      </c>
      <c r="R22" s="55">
        <f>$C$22</f>
        <v>0</v>
      </c>
      <c r="S22" s="20">
        <v>15</v>
      </c>
      <c r="T22" s="105">
        <f>$C$22*S22</f>
        <v>0</v>
      </c>
    </row>
    <row r="23" spans="2:23" s="19" customFormat="1" ht="18" customHeight="1" x14ac:dyDescent="0.3">
      <c r="B23" s="141" t="s">
        <v>7</v>
      </c>
      <c r="C23" s="95">
        <v>0</v>
      </c>
      <c r="D23" s="65">
        <v>300</v>
      </c>
      <c r="E23" s="8">
        <f t="shared" si="0"/>
        <v>0</v>
      </c>
      <c r="F23" s="55">
        <f>$C$23</f>
        <v>0</v>
      </c>
      <c r="G23" s="20">
        <v>95</v>
      </c>
      <c r="H23" s="8">
        <f>$C$23*G23</f>
        <v>0</v>
      </c>
      <c r="I23" s="55">
        <f>$C$23</f>
        <v>0</v>
      </c>
      <c r="J23" s="20">
        <v>75</v>
      </c>
      <c r="K23" s="8">
        <f>$C$23*J23</f>
        <v>0</v>
      </c>
      <c r="L23" s="55">
        <f>$C$23</f>
        <v>0</v>
      </c>
      <c r="M23" s="20">
        <v>30</v>
      </c>
      <c r="N23" s="105">
        <f>$C$23*M23</f>
        <v>0</v>
      </c>
      <c r="O23" s="55">
        <f>$C$23</f>
        <v>0</v>
      </c>
      <c r="P23" s="137">
        <v>75</v>
      </c>
      <c r="Q23" s="137">
        <f>$C$23*P23</f>
        <v>0</v>
      </c>
      <c r="R23" s="55">
        <f>$C$23</f>
        <v>0</v>
      </c>
      <c r="S23" s="20">
        <v>30</v>
      </c>
      <c r="T23" s="105">
        <f>$C$23*S23</f>
        <v>0</v>
      </c>
    </row>
    <row r="24" spans="2:23" s="19" customFormat="1" ht="18" customHeight="1" x14ac:dyDescent="0.3">
      <c r="B24" s="141" t="s">
        <v>8</v>
      </c>
      <c r="C24" s="95">
        <v>0</v>
      </c>
      <c r="D24" s="65">
        <v>1000</v>
      </c>
      <c r="E24" s="96">
        <f t="shared" si="0"/>
        <v>0</v>
      </c>
      <c r="F24" s="66">
        <f>$C$24</f>
        <v>0</v>
      </c>
      <c r="G24" s="29">
        <v>325</v>
      </c>
      <c r="H24" s="24">
        <f>$C$24*G24</f>
        <v>0</v>
      </c>
      <c r="I24" s="92">
        <v>0.25</v>
      </c>
      <c r="J24" s="93">
        <f>($I$24*$D$24)*C24</f>
        <v>0</v>
      </c>
      <c r="K24" s="24">
        <f>$C$24*J24</f>
        <v>0</v>
      </c>
      <c r="L24" s="94">
        <v>0.1</v>
      </c>
      <c r="M24" s="93">
        <f>($L$24*$D$24)*$C$24</f>
        <v>0</v>
      </c>
      <c r="N24" s="107">
        <f>$C$24*M24</f>
        <v>0</v>
      </c>
      <c r="O24" s="67">
        <f>$C$24</f>
        <v>0</v>
      </c>
      <c r="P24" s="97">
        <v>75</v>
      </c>
      <c r="Q24" s="97">
        <f>$C$24*P24</f>
        <v>0</v>
      </c>
      <c r="R24" s="67">
        <f>$C$24</f>
        <v>0</v>
      </c>
      <c r="S24" s="29">
        <v>75</v>
      </c>
      <c r="T24" s="107">
        <f>$C$24*S24</f>
        <v>0</v>
      </c>
    </row>
    <row r="25" spans="2:23" s="19" customFormat="1" ht="30" customHeight="1" x14ac:dyDescent="0.3">
      <c r="C25" s="7"/>
      <c r="D25" s="20"/>
      <c r="E25" s="8"/>
      <c r="F25" s="7"/>
      <c r="G25" s="37" t="s">
        <v>49</v>
      </c>
      <c r="H25" s="22">
        <f>H21+H22+H23+H24</f>
        <v>0</v>
      </c>
      <c r="I25" s="80"/>
      <c r="J25" s="37" t="s">
        <v>49</v>
      </c>
      <c r="K25" s="22">
        <f>SUM(K21:K24)</f>
        <v>0</v>
      </c>
      <c r="L25" s="80"/>
      <c r="M25" s="37" t="s">
        <v>49</v>
      </c>
      <c r="N25" s="129">
        <f>SUM(N21:N24)</f>
        <v>0</v>
      </c>
      <c r="O25" s="30"/>
      <c r="P25" s="51" t="s">
        <v>49</v>
      </c>
      <c r="Q25" s="33">
        <f>SUM(Q21:Q24)</f>
        <v>0</v>
      </c>
      <c r="R25" s="30"/>
      <c r="S25" s="81" t="s">
        <v>49</v>
      </c>
      <c r="T25" s="109">
        <f>SUM(T21:T24)</f>
        <v>0</v>
      </c>
    </row>
    <row r="26" spans="2:23" s="19" customFormat="1" ht="24" customHeight="1" x14ac:dyDescent="0.3">
      <c r="B26" s="61" t="s">
        <v>63</v>
      </c>
      <c r="C26" s="7"/>
      <c r="D26" s="62">
        <v>0.4</v>
      </c>
      <c r="E26" s="45"/>
      <c r="F26" s="68"/>
      <c r="G26" s="69">
        <v>0.3</v>
      </c>
      <c r="H26" s="68"/>
      <c r="I26" s="7"/>
      <c r="J26" s="70">
        <v>0.3</v>
      </c>
      <c r="K26" s="68"/>
      <c r="L26" s="7"/>
      <c r="M26" s="70">
        <v>0.1</v>
      </c>
      <c r="N26" s="130"/>
      <c r="P26" s="45" t="s">
        <v>68</v>
      </c>
      <c r="Q26" s="45"/>
      <c r="S26" s="20" t="s">
        <v>68</v>
      </c>
      <c r="T26" s="104"/>
    </row>
    <row r="27" spans="2:23" s="19" customFormat="1" ht="24" customHeight="1" x14ac:dyDescent="0.3">
      <c r="B27" s="141" t="s">
        <v>13</v>
      </c>
      <c r="C27" s="95">
        <v>0</v>
      </c>
      <c r="D27" s="65">
        <v>3000</v>
      </c>
      <c r="E27" s="48">
        <f>D27*$C$27</f>
        <v>0</v>
      </c>
      <c r="F27" s="55">
        <f>$C$27</f>
        <v>0</v>
      </c>
      <c r="G27" s="71">
        <f>D27</f>
        <v>3000</v>
      </c>
      <c r="H27" s="48">
        <f>($C$27*$D$27)*$G$26</f>
        <v>0</v>
      </c>
      <c r="I27" s="55">
        <f>$C$27</f>
        <v>0</v>
      </c>
      <c r="J27" s="71">
        <f>D27</f>
        <v>3000</v>
      </c>
      <c r="K27" s="48">
        <f>($C$27*$D$27)*$J$26</f>
        <v>0</v>
      </c>
      <c r="L27" s="55">
        <f>$C$27</f>
        <v>0</v>
      </c>
      <c r="M27" s="71">
        <f>D27</f>
        <v>3000</v>
      </c>
      <c r="N27" s="131">
        <f>($C$27*$D$27)*$M$26</f>
        <v>0</v>
      </c>
      <c r="O27" s="55">
        <f>$C$27</f>
        <v>0</v>
      </c>
      <c r="P27" s="8">
        <v>130</v>
      </c>
      <c r="Q27" s="8">
        <f>$C$27*P27</f>
        <v>0</v>
      </c>
      <c r="R27" s="55">
        <f>$C$27</f>
        <v>0</v>
      </c>
      <c r="S27" s="20">
        <v>75</v>
      </c>
      <c r="T27" s="105">
        <f>$C$27*S27</f>
        <v>0</v>
      </c>
    </row>
    <row r="28" spans="2:23" s="19" customFormat="1" ht="18" customHeight="1" x14ac:dyDescent="0.3">
      <c r="C28" s="7"/>
      <c r="D28" s="20"/>
      <c r="E28" s="45"/>
      <c r="F28" s="49"/>
      <c r="G28" s="29"/>
      <c r="H28" s="72"/>
      <c r="I28" s="28"/>
      <c r="J28" s="28"/>
      <c r="K28" s="72"/>
      <c r="L28" s="28"/>
      <c r="M28" s="29"/>
      <c r="N28" s="132"/>
      <c r="O28" s="73" t="s">
        <v>67</v>
      </c>
      <c r="P28" s="72"/>
      <c r="Q28" s="72"/>
      <c r="R28" s="73" t="s">
        <v>67</v>
      </c>
      <c r="S28" s="29"/>
      <c r="T28" s="110"/>
      <c r="W28" s="7"/>
    </row>
    <row r="29" spans="2:23" s="19" customFormat="1" ht="24" customHeight="1" x14ac:dyDescent="0.3">
      <c r="C29" s="7"/>
      <c r="D29" s="20"/>
      <c r="E29" s="45"/>
      <c r="F29" s="74" t="s">
        <v>14</v>
      </c>
      <c r="G29" s="75">
        <v>5200</v>
      </c>
      <c r="H29" s="44"/>
      <c r="I29" s="21" t="s">
        <v>67</v>
      </c>
      <c r="J29" s="59"/>
      <c r="K29" s="45"/>
      <c r="L29" s="75" t="s">
        <v>67</v>
      </c>
      <c r="M29" s="58"/>
      <c r="N29" s="106"/>
      <c r="O29" s="7" t="s">
        <v>38</v>
      </c>
      <c r="P29" s="45" t="s">
        <v>68</v>
      </c>
      <c r="Q29" s="60"/>
      <c r="R29" s="7" t="s">
        <v>38</v>
      </c>
      <c r="S29" s="20" t="s">
        <v>68</v>
      </c>
      <c r="T29" s="113"/>
    </row>
    <row r="30" spans="2:23" s="19" customFormat="1" ht="24" customHeight="1" x14ac:dyDescent="0.3">
      <c r="B30" s="27" t="s">
        <v>64</v>
      </c>
      <c r="C30" s="95">
        <v>0</v>
      </c>
      <c r="D30" s="77">
        <v>15000</v>
      </c>
      <c r="E30" s="78">
        <f>(D30*$C$30)</f>
        <v>0</v>
      </c>
      <c r="F30" s="66">
        <f>C30</f>
        <v>0</v>
      </c>
      <c r="G30" s="79">
        <f>$D$30</f>
        <v>15000</v>
      </c>
      <c r="H30" s="24">
        <f>(C30*D30)</f>
        <v>0</v>
      </c>
      <c r="I30" s="67">
        <f>C30</f>
        <v>0</v>
      </c>
      <c r="J30" s="79">
        <f>$G$30</f>
        <v>15000</v>
      </c>
      <c r="K30" s="98">
        <f>(D30*C30)*$J$26</f>
        <v>0</v>
      </c>
      <c r="L30" s="67">
        <f>C30</f>
        <v>0</v>
      </c>
      <c r="M30" s="79">
        <f>$D$30</f>
        <v>15000</v>
      </c>
      <c r="N30" s="138">
        <f>(G30*F30)*$M$26</f>
        <v>0</v>
      </c>
      <c r="O30" s="127">
        <v>0</v>
      </c>
      <c r="P30" s="24">
        <v>375</v>
      </c>
      <c r="Q30" s="24">
        <f t="shared" ref="Q30" si="1">O30*P30</f>
        <v>0</v>
      </c>
      <c r="R30" s="67">
        <f>O30</f>
        <v>0</v>
      </c>
      <c r="S30" s="29">
        <v>225</v>
      </c>
      <c r="T30" s="107">
        <f t="shared" ref="T30" si="2">R30*S30</f>
        <v>0</v>
      </c>
    </row>
    <row r="31" spans="2:23" s="19" customFormat="1" ht="18" customHeight="1" x14ac:dyDescent="0.3">
      <c r="B31" s="141" t="s">
        <v>44</v>
      </c>
      <c r="C31" s="7"/>
      <c r="D31" s="20">
        <f>E20+E21+E22+E23+E24+E27+E30</f>
        <v>0</v>
      </c>
      <c r="E31" s="44">
        <f>IF(D31&lt;D19,(E20+E21+E22+E23+E24+E27+E30))</f>
        <v>0</v>
      </c>
      <c r="F31" s="7"/>
      <c r="G31" s="20">
        <f>H30</f>
        <v>0</v>
      </c>
      <c r="H31" s="8">
        <f>IF(G31&lt;G29,H30)</f>
        <v>0</v>
      </c>
      <c r="I31" s="7"/>
      <c r="J31" s="7"/>
      <c r="K31" s="45"/>
      <c r="L31" s="7"/>
      <c r="M31" s="20"/>
      <c r="N31" s="106"/>
      <c r="P31" s="8"/>
      <c r="Q31" s="8"/>
      <c r="S31" s="20"/>
      <c r="T31" s="105"/>
    </row>
    <row r="32" spans="2:23" s="19" customFormat="1" ht="18" customHeight="1" x14ac:dyDescent="0.3">
      <c r="B32" s="141" t="s">
        <v>46</v>
      </c>
      <c r="C32" s="7"/>
      <c r="D32" s="35" t="b">
        <f>IF(($E$20+$E$21+$E$22+$E$23+$E$24+$E$27+$E$30)&gt;$D$19,"True")</f>
        <v>0</v>
      </c>
      <c r="E32" s="45"/>
      <c r="F32" s="7"/>
      <c r="G32" s="35" t="b">
        <f>IF(G31&gt;G29,"True")</f>
        <v>0</v>
      </c>
      <c r="H32" s="45"/>
      <c r="J32" s="7" t="s">
        <v>50</v>
      </c>
      <c r="K32" s="46"/>
      <c r="M32" s="7" t="s">
        <v>50</v>
      </c>
      <c r="N32" s="104"/>
      <c r="P32" s="45" t="s">
        <v>50</v>
      </c>
      <c r="Q32" s="47"/>
      <c r="S32" s="7" t="s">
        <v>50</v>
      </c>
      <c r="T32" s="105"/>
    </row>
    <row r="33" spans="2:20" s="19" customFormat="1" ht="18" customHeight="1" x14ac:dyDescent="0.3">
      <c r="B33" s="141" t="s">
        <v>60</v>
      </c>
      <c r="C33" s="7"/>
      <c r="D33" s="20" t="s">
        <v>14</v>
      </c>
      <c r="E33" s="8" t="b">
        <f>IF(D32="TRUE",D19)</f>
        <v>0</v>
      </c>
      <c r="F33" s="7"/>
      <c r="G33" s="7" t="s">
        <v>14</v>
      </c>
      <c r="H33" s="8" t="b">
        <f>IF($H$31&gt;G29,G29)</f>
        <v>0</v>
      </c>
      <c r="I33" s="7"/>
      <c r="J33" s="7"/>
      <c r="K33" s="45"/>
      <c r="L33" s="7"/>
      <c r="M33" s="20"/>
      <c r="N33" s="106"/>
      <c r="P33" s="8"/>
      <c r="Q33" s="8"/>
      <c r="S33" s="20"/>
      <c r="T33" s="105"/>
    </row>
    <row r="34" spans="2:20" s="19" customFormat="1" ht="18" customHeight="1" x14ac:dyDescent="0.3">
      <c r="B34" s="141" t="s">
        <v>58</v>
      </c>
      <c r="C34" s="7"/>
      <c r="D34" s="20" t="s">
        <v>57</v>
      </c>
      <c r="E34" s="48">
        <f>IF(E33=$D$19,(E20+E21+E22+E23+E24+E27+E30)-D19)*D26</f>
        <v>0</v>
      </c>
      <c r="F34" s="7"/>
      <c r="G34" s="20" t="s">
        <v>16</v>
      </c>
      <c r="H34" s="48" t="b">
        <f>IF(H33=G29,(G31-G29)*G26)</f>
        <v>0</v>
      </c>
      <c r="I34" s="7"/>
      <c r="J34" s="7"/>
      <c r="K34" s="45"/>
      <c r="L34" s="7"/>
      <c r="M34" s="20"/>
      <c r="N34" s="106"/>
      <c r="P34" s="8"/>
      <c r="Q34" s="8"/>
      <c r="S34" s="20"/>
      <c r="T34" s="105"/>
    </row>
    <row r="35" spans="2:20" s="19" customFormat="1" ht="25.8" customHeight="1" x14ac:dyDescent="0.3">
      <c r="B35" s="85" t="s">
        <v>71</v>
      </c>
      <c r="C35" s="28"/>
      <c r="D35" s="29"/>
      <c r="E35" s="23">
        <f>(E17+E31+E33+E34)</f>
        <v>0</v>
      </c>
      <c r="F35" s="49"/>
      <c r="G35" s="50" t="s">
        <v>79</v>
      </c>
      <c r="H35" s="23">
        <f>H17+H25+H27+H31+H33+H34</f>
        <v>0</v>
      </c>
      <c r="I35" s="28"/>
      <c r="J35" s="50" t="s">
        <v>79</v>
      </c>
      <c r="K35" s="23">
        <f>K17+K25+K27+K30</f>
        <v>0</v>
      </c>
      <c r="L35" s="28"/>
      <c r="M35" s="50" t="s">
        <v>79</v>
      </c>
      <c r="N35" s="108">
        <f>N17+N25+N27+N30</f>
        <v>0</v>
      </c>
      <c r="O35" s="27"/>
      <c r="P35" s="51" t="s">
        <v>79</v>
      </c>
      <c r="Q35" s="23">
        <f>Q17+Q25+Q27+Q30</f>
        <v>0</v>
      </c>
      <c r="R35" s="27"/>
      <c r="S35" s="50" t="s">
        <v>79</v>
      </c>
      <c r="T35" s="108">
        <f>T17+T25+T27+T30</f>
        <v>0</v>
      </c>
    </row>
    <row r="36" spans="2:20" s="19" customFormat="1" ht="28.8" customHeight="1" x14ac:dyDescent="0.3">
      <c r="B36" s="39" t="s">
        <v>48</v>
      </c>
      <c r="C36" s="31"/>
      <c r="D36" s="40">
        <v>9800</v>
      </c>
      <c r="E36" s="41" t="b">
        <f>IF(E35&gt;9800,9800)</f>
        <v>0</v>
      </c>
      <c r="F36" s="31"/>
      <c r="G36" s="32">
        <v>9800</v>
      </c>
      <c r="H36" s="41" t="b">
        <f>IF(H35&gt;9800,9800)</f>
        <v>0</v>
      </c>
      <c r="I36" s="31"/>
      <c r="J36" s="42">
        <v>9200</v>
      </c>
      <c r="K36" s="41" t="b">
        <f>IF(K35&gt;9200,9200)</f>
        <v>0</v>
      </c>
      <c r="L36" s="31"/>
      <c r="M36" s="32">
        <v>5000</v>
      </c>
      <c r="N36" s="114" t="b">
        <f>IF(N35&gt;5000,5000)</f>
        <v>0</v>
      </c>
      <c r="O36" s="30"/>
      <c r="P36" s="32">
        <v>9200</v>
      </c>
      <c r="Q36" s="41" t="b">
        <f>IF(Q35&gt;9200,9200)</f>
        <v>0</v>
      </c>
      <c r="R36" s="30"/>
      <c r="S36" s="43">
        <v>5000</v>
      </c>
      <c r="T36" s="114" t="b">
        <f>IF(T35&gt;5000,5000)</f>
        <v>0</v>
      </c>
    </row>
    <row r="37" spans="2:20" ht="27.6" customHeight="1" x14ac:dyDescent="0.45">
      <c r="B37" s="25" t="s">
        <v>37</v>
      </c>
      <c r="C37" s="11"/>
      <c r="D37" s="10"/>
      <c r="E37" s="11"/>
      <c r="F37" s="11"/>
      <c r="G37" s="10"/>
      <c r="H37" s="11"/>
      <c r="I37" s="11"/>
      <c r="J37" s="11"/>
      <c r="K37" s="11"/>
      <c r="L37" s="11"/>
      <c r="M37" s="10"/>
      <c r="N37" s="133"/>
      <c r="O37" s="12"/>
      <c r="P37" s="10"/>
      <c r="Q37" s="11"/>
      <c r="R37" s="12"/>
      <c r="S37" s="10"/>
      <c r="T37" s="115"/>
    </row>
    <row r="38" spans="2:20" s="19" customFormat="1" ht="18" customHeight="1" x14ac:dyDescent="0.3">
      <c r="B38" s="61" t="s">
        <v>14</v>
      </c>
      <c r="C38" s="20">
        <v>450</v>
      </c>
      <c r="D38" s="7"/>
      <c r="E38" s="18" t="b">
        <f>IF(OR($C$42&gt;0,$C$43&gt;0,$C$44&gt;0),450)</f>
        <v>0</v>
      </c>
      <c r="F38" s="7"/>
      <c r="G38" s="71">
        <v>50</v>
      </c>
      <c r="H38" s="18" t="b">
        <f>IF(OR(F42&gt;0,F43&gt;0,F44&gt;0),$G$38)</f>
        <v>0</v>
      </c>
      <c r="I38" s="20"/>
      <c r="J38" s="59"/>
      <c r="K38" s="45"/>
      <c r="L38" s="7"/>
      <c r="M38" s="58"/>
      <c r="N38" s="106"/>
      <c r="P38" s="58"/>
      <c r="Q38" s="45"/>
      <c r="S38" s="58"/>
      <c r="T38" s="104"/>
    </row>
    <row r="39" spans="2:20" s="19" customFormat="1" ht="18" customHeight="1" x14ac:dyDescent="0.3">
      <c r="B39" s="61" t="s">
        <v>16</v>
      </c>
      <c r="C39" s="82">
        <v>0.4</v>
      </c>
      <c r="D39" s="75" t="s">
        <v>1</v>
      </c>
      <c r="E39" s="45"/>
      <c r="F39" s="82">
        <v>0.2</v>
      </c>
      <c r="G39" s="7"/>
      <c r="H39" s="45"/>
      <c r="I39" s="82">
        <v>0.2</v>
      </c>
      <c r="J39" s="7"/>
      <c r="K39" s="45"/>
      <c r="L39" s="82">
        <v>0.1</v>
      </c>
      <c r="M39" s="20"/>
      <c r="N39" s="106"/>
      <c r="O39" s="82">
        <v>0.2</v>
      </c>
      <c r="P39" s="20"/>
      <c r="Q39" s="45"/>
      <c r="R39" s="82">
        <v>0.1</v>
      </c>
      <c r="S39" s="20"/>
      <c r="T39" s="104"/>
    </row>
    <row r="40" spans="2:20" s="19" customFormat="1" ht="18" customHeight="1" x14ac:dyDescent="0.3">
      <c r="B40" s="19" t="s">
        <v>47</v>
      </c>
      <c r="C40" s="62"/>
      <c r="D40" s="7"/>
      <c r="E40" s="45"/>
      <c r="F40" s="7"/>
      <c r="G40" s="20"/>
      <c r="H40" s="45"/>
      <c r="I40" s="7"/>
      <c r="J40" s="7"/>
      <c r="K40" s="45"/>
      <c r="L40" s="7"/>
      <c r="M40" s="20"/>
      <c r="N40" s="106"/>
      <c r="P40" s="20"/>
      <c r="Q40" s="45"/>
      <c r="S40" s="20"/>
      <c r="T40" s="104"/>
    </row>
    <row r="41" spans="2:20" s="19" customFormat="1" ht="18" customHeight="1" x14ac:dyDescent="0.3">
      <c r="B41" s="141" t="s">
        <v>10</v>
      </c>
      <c r="C41" s="54">
        <v>0</v>
      </c>
      <c r="D41" s="20">
        <v>20</v>
      </c>
      <c r="E41" s="8">
        <f>C41*D41</f>
        <v>0</v>
      </c>
      <c r="F41" s="55">
        <f>$C$41</f>
        <v>0</v>
      </c>
      <c r="G41" s="20">
        <v>19</v>
      </c>
      <c r="H41" s="8">
        <f>G41*F41</f>
        <v>0</v>
      </c>
      <c r="I41" s="55">
        <f>$C$41</f>
        <v>0</v>
      </c>
      <c r="J41" s="20">
        <v>18</v>
      </c>
      <c r="K41" s="8">
        <f>I41*J41</f>
        <v>0</v>
      </c>
      <c r="L41" s="55">
        <f>$C$41</f>
        <v>0</v>
      </c>
      <c r="M41" s="20">
        <v>9</v>
      </c>
      <c r="N41" s="105">
        <f>L41*M41</f>
        <v>0</v>
      </c>
      <c r="O41" s="55">
        <f>$C$41</f>
        <v>0</v>
      </c>
      <c r="P41" s="20">
        <v>18</v>
      </c>
      <c r="Q41" s="8">
        <f>O41*P41</f>
        <v>0</v>
      </c>
      <c r="R41" s="55">
        <f>$C$41</f>
        <v>0</v>
      </c>
      <c r="S41" s="20">
        <v>9</v>
      </c>
      <c r="T41" s="105">
        <f>R41*S41</f>
        <v>0</v>
      </c>
    </row>
    <row r="42" spans="2:20" s="19" customFormat="1" ht="18" customHeight="1" x14ac:dyDescent="0.3">
      <c r="B42" s="141" t="s">
        <v>11</v>
      </c>
      <c r="C42" s="54">
        <v>0</v>
      </c>
      <c r="D42" s="65">
        <v>150</v>
      </c>
      <c r="E42" s="8">
        <f t="shared" ref="E42:E44" si="3">C42*D42</f>
        <v>0</v>
      </c>
      <c r="F42" s="55">
        <f>$C$42</f>
        <v>0</v>
      </c>
      <c r="G42" s="20">
        <v>60</v>
      </c>
      <c r="H42" s="8">
        <f t="shared" ref="H42:H43" si="4">G42*F42</f>
        <v>0</v>
      </c>
      <c r="I42" s="55">
        <f>$C$42</f>
        <v>0</v>
      </c>
      <c r="J42" s="20">
        <v>60</v>
      </c>
      <c r="K42" s="8">
        <f t="shared" ref="K42:K44" si="5">I42*J42</f>
        <v>0</v>
      </c>
      <c r="L42" s="55">
        <f>$C$42</f>
        <v>0</v>
      </c>
      <c r="M42" s="20">
        <v>16</v>
      </c>
      <c r="N42" s="105">
        <f t="shared" ref="N42:N44" si="6">L42*M42</f>
        <v>0</v>
      </c>
      <c r="O42" s="55">
        <f>$C$42</f>
        <v>0</v>
      </c>
      <c r="P42" s="20">
        <v>60</v>
      </c>
      <c r="Q42" s="8">
        <f t="shared" ref="Q42:Q44" si="7">O42*P42</f>
        <v>0</v>
      </c>
      <c r="R42" s="55">
        <f>$C$42</f>
        <v>0</v>
      </c>
      <c r="S42" s="20">
        <v>16</v>
      </c>
      <c r="T42" s="105">
        <f t="shared" ref="T42:T44" si="8">R42*S42</f>
        <v>0</v>
      </c>
    </row>
    <row r="43" spans="2:20" s="19" customFormat="1" ht="18" customHeight="1" x14ac:dyDescent="0.3">
      <c r="B43" s="141" t="s">
        <v>12</v>
      </c>
      <c r="C43" s="54">
        <v>0</v>
      </c>
      <c r="D43" s="65">
        <v>300</v>
      </c>
      <c r="E43" s="8">
        <f t="shared" si="3"/>
        <v>0</v>
      </c>
      <c r="F43" s="55">
        <f>$C$43</f>
        <v>0</v>
      </c>
      <c r="G43" s="20">
        <v>90</v>
      </c>
      <c r="H43" s="8">
        <f t="shared" si="4"/>
        <v>0</v>
      </c>
      <c r="I43" s="55">
        <f>$C$43</f>
        <v>0</v>
      </c>
      <c r="J43" s="20">
        <v>85</v>
      </c>
      <c r="K43" s="8">
        <f t="shared" si="5"/>
        <v>0</v>
      </c>
      <c r="L43" s="55">
        <f>$C$43</f>
        <v>0</v>
      </c>
      <c r="M43" s="20">
        <v>25</v>
      </c>
      <c r="N43" s="105">
        <f t="shared" si="6"/>
        <v>0</v>
      </c>
      <c r="O43" s="55">
        <f>$C$43</f>
        <v>0</v>
      </c>
      <c r="P43" s="20">
        <v>85</v>
      </c>
      <c r="Q43" s="8">
        <f t="shared" si="7"/>
        <v>0</v>
      </c>
      <c r="R43" s="55">
        <f>$C$43</f>
        <v>0</v>
      </c>
      <c r="S43" s="20">
        <v>25</v>
      </c>
      <c r="T43" s="105">
        <f t="shared" si="8"/>
        <v>0</v>
      </c>
    </row>
    <row r="44" spans="2:20" s="19" customFormat="1" ht="18" customHeight="1" x14ac:dyDescent="0.3">
      <c r="B44" s="141" t="s">
        <v>65</v>
      </c>
      <c r="C44" s="54">
        <v>0</v>
      </c>
      <c r="D44" s="65">
        <v>2000</v>
      </c>
      <c r="E44" s="8">
        <f t="shared" si="3"/>
        <v>0</v>
      </c>
      <c r="F44" s="55">
        <f>$C$44</f>
        <v>0</v>
      </c>
      <c r="G44" s="83">
        <f>D44*$I$39</f>
        <v>400</v>
      </c>
      <c r="H44" s="84">
        <f>C44*G44</f>
        <v>0</v>
      </c>
      <c r="I44" s="55">
        <f>$C$44</f>
        <v>0</v>
      </c>
      <c r="J44" s="83">
        <f>D44*$I$39</f>
        <v>400</v>
      </c>
      <c r="K44" s="84">
        <f t="shared" si="5"/>
        <v>0</v>
      </c>
      <c r="L44" s="55">
        <f>$C$44</f>
        <v>0</v>
      </c>
      <c r="M44" s="83">
        <f>L39*$D$44</f>
        <v>200</v>
      </c>
      <c r="N44" s="116">
        <f t="shared" si="6"/>
        <v>0</v>
      </c>
      <c r="O44" s="55">
        <f>$C$44</f>
        <v>0</v>
      </c>
      <c r="P44" s="83">
        <f>$D$44*$O$39</f>
        <v>400</v>
      </c>
      <c r="Q44" s="84">
        <f t="shared" si="7"/>
        <v>0</v>
      </c>
      <c r="R44" s="55">
        <f>$C$44</f>
        <v>0</v>
      </c>
      <c r="S44" s="83">
        <f>D44*$R$39</f>
        <v>200</v>
      </c>
      <c r="T44" s="116">
        <f t="shared" si="8"/>
        <v>0</v>
      </c>
    </row>
    <row r="45" spans="2:20" s="19" customFormat="1" ht="25.8" customHeight="1" x14ac:dyDescent="0.3">
      <c r="B45" s="141" t="s">
        <v>44</v>
      </c>
      <c r="C45" s="7"/>
      <c r="D45" s="20">
        <f>E42+E43+E44</f>
        <v>0</v>
      </c>
      <c r="E45" s="88">
        <f>IF($D$45&lt;$C$38,($E$42+$E$43+$E$44))</f>
        <v>0</v>
      </c>
      <c r="F45" s="62" t="s">
        <v>51</v>
      </c>
      <c r="G45" s="35">
        <f>IF(G44&gt;250,250)</f>
        <v>250</v>
      </c>
      <c r="H45" s="89">
        <f>G45*$C$44</f>
        <v>0</v>
      </c>
      <c r="I45" s="62" t="s">
        <v>51</v>
      </c>
      <c r="J45" s="35">
        <f>IF(J44&gt;250,250)</f>
        <v>250</v>
      </c>
      <c r="K45" s="89">
        <f>J45*$C$44</f>
        <v>0</v>
      </c>
      <c r="L45" s="62" t="s">
        <v>51</v>
      </c>
      <c r="M45" s="35" t="b">
        <f>IF(M44&gt;250,250)</f>
        <v>0</v>
      </c>
      <c r="N45" s="117">
        <f>M45*$C$44</f>
        <v>0</v>
      </c>
      <c r="O45" s="62" t="s">
        <v>51</v>
      </c>
      <c r="P45" s="35">
        <f>IF(P44&gt;250,250)</f>
        <v>250</v>
      </c>
      <c r="Q45" s="89">
        <f>P45*$C$44</f>
        <v>0</v>
      </c>
      <c r="R45" s="90" t="s">
        <v>51</v>
      </c>
      <c r="S45" s="35" t="b">
        <f>IF(S44&gt;250,250)</f>
        <v>0</v>
      </c>
      <c r="T45" s="117">
        <f>S45*$F$44</f>
        <v>0</v>
      </c>
    </row>
    <row r="46" spans="2:20" s="19" customFormat="1" ht="25.8" customHeight="1" x14ac:dyDescent="0.3">
      <c r="B46" s="141" t="s">
        <v>46</v>
      </c>
      <c r="C46" s="35" t="s">
        <v>66</v>
      </c>
      <c r="D46" s="74" t="b">
        <f>IF($D$45&gt;$C$38,"True")</f>
        <v>0</v>
      </c>
      <c r="E46" s="89" t="s">
        <v>1</v>
      </c>
      <c r="F46" s="62" t="s">
        <v>53</v>
      </c>
      <c r="G46" s="7" t="s">
        <v>52</v>
      </c>
      <c r="H46" s="91">
        <f>IF(G44&gt;G45,-H44)</f>
        <v>0</v>
      </c>
      <c r="I46" s="62" t="s">
        <v>53</v>
      </c>
      <c r="J46" s="7" t="s">
        <v>52</v>
      </c>
      <c r="K46" s="91">
        <f>IF(J44&gt;250,-K44)</f>
        <v>0</v>
      </c>
      <c r="L46" s="62" t="s">
        <v>53</v>
      </c>
      <c r="M46" s="7" t="s">
        <v>52</v>
      </c>
      <c r="N46" s="118" t="b">
        <f>IF(M44&gt;250,-N44)</f>
        <v>0</v>
      </c>
      <c r="O46" s="62" t="s">
        <v>53</v>
      </c>
      <c r="P46" s="7" t="s">
        <v>52</v>
      </c>
      <c r="Q46" s="91">
        <f>IF(P44&gt;250,-Q44)</f>
        <v>0</v>
      </c>
      <c r="R46" s="62" t="s">
        <v>53</v>
      </c>
      <c r="S46" s="7" t="s">
        <v>52</v>
      </c>
      <c r="T46" s="118" t="b">
        <f>IF(S44&gt;250,-T44)</f>
        <v>0</v>
      </c>
    </row>
    <row r="47" spans="2:20" ht="25.8" customHeight="1" x14ac:dyDescent="0.3">
      <c r="C47" s="15"/>
      <c r="D47" s="2" t="s">
        <v>14</v>
      </c>
      <c r="E47" s="14" t="b">
        <f>IF($D$46="TRUE",$C$38)</f>
        <v>0</v>
      </c>
      <c r="F47" s="13"/>
      <c r="H47" s="14" t="b">
        <f>IF($H$38=$G$38,"Met")</f>
        <v>0</v>
      </c>
      <c r="I47" s="13"/>
      <c r="K47" s="6" t="s">
        <v>61</v>
      </c>
      <c r="L47" s="13"/>
      <c r="N47" s="120" t="s">
        <v>61</v>
      </c>
      <c r="O47" s="13"/>
      <c r="Q47" s="14" t="s">
        <v>61</v>
      </c>
      <c r="R47" s="13"/>
      <c r="S47" s="2"/>
      <c r="T47" s="119" t="s">
        <v>61</v>
      </c>
    </row>
    <row r="48" spans="2:20" ht="28.2" customHeight="1" x14ac:dyDescent="0.3">
      <c r="B48" s="1" t="s">
        <v>1</v>
      </c>
      <c r="D48" s="3" t="s">
        <v>57</v>
      </c>
      <c r="E48" s="6" t="b">
        <f>IF($E$47=$C38,($D$45-$E$47)*$C$39)</f>
        <v>0</v>
      </c>
      <c r="F48" s="13"/>
      <c r="G48" s="3" t="s">
        <v>61</v>
      </c>
      <c r="H48" s="5"/>
      <c r="I48" s="3"/>
      <c r="K48" s="6" t="s">
        <v>61</v>
      </c>
      <c r="L48" s="3"/>
      <c r="N48" s="120" t="s">
        <v>61</v>
      </c>
      <c r="O48" s="3"/>
      <c r="Q48" s="6" t="s">
        <v>61</v>
      </c>
      <c r="R48" s="3"/>
      <c r="T48" s="120" t="s">
        <v>61</v>
      </c>
    </row>
    <row r="49" spans="2:20" ht="17.399999999999999" x14ac:dyDescent="0.3">
      <c r="C49" s="16" t="s">
        <v>78</v>
      </c>
      <c r="D49" s="16" t="b">
        <f>IF($E$47=$C$38,"True")</f>
        <v>0</v>
      </c>
      <c r="E49" s="6"/>
      <c r="F49" s="13"/>
      <c r="G49" s="3"/>
      <c r="H49" s="6"/>
      <c r="I49" s="13"/>
      <c r="J49" s="3"/>
      <c r="K49" s="5"/>
      <c r="L49" s="13"/>
      <c r="M49" s="3"/>
      <c r="N49" s="134"/>
      <c r="O49" s="17"/>
      <c r="P49" s="3"/>
      <c r="Q49" s="5"/>
      <c r="R49" s="17"/>
      <c r="S49" s="3"/>
      <c r="T49" s="121"/>
    </row>
    <row r="50" spans="2:20" s="19" customFormat="1" ht="27" customHeight="1" x14ac:dyDescent="0.3">
      <c r="B50" s="38" t="s">
        <v>81</v>
      </c>
      <c r="C50" s="7"/>
      <c r="D50" s="20"/>
      <c r="E50" s="8">
        <f>E41+E45+E47+E48</f>
        <v>0</v>
      </c>
      <c r="F50" s="26" t="s">
        <v>80</v>
      </c>
      <c r="G50" s="20" t="b">
        <f>IF(H38=G38,"+ $50 Deduct.")</f>
        <v>0</v>
      </c>
      <c r="H50" s="24">
        <f>H38+H41+H42+H43+H44+H45+H46</f>
        <v>0</v>
      </c>
      <c r="I50" s="26" t="s">
        <v>80</v>
      </c>
      <c r="J50" s="21" t="s">
        <v>67</v>
      </c>
      <c r="K50" s="8">
        <f>K41+K42+K43+K44+K45+K46</f>
        <v>0</v>
      </c>
      <c r="L50" s="26" t="s">
        <v>80</v>
      </c>
      <c r="M50" s="21" t="s">
        <v>67</v>
      </c>
      <c r="N50" s="105">
        <f>N41+N42+N43+N44+N45+N46</f>
        <v>0</v>
      </c>
      <c r="O50" s="26" t="s">
        <v>80</v>
      </c>
      <c r="P50" s="21" t="s">
        <v>67</v>
      </c>
      <c r="Q50" s="8">
        <f>Q41+Q42+Q43+Q44+Q45+Q46</f>
        <v>0</v>
      </c>
      <c r="R50" s="26" t="s">
        <v>80</v>
      </c>
      <c r="S50" s="21" t="s">
        <v>67</v>
      </c>
      <c r="T50" s="105">
        <f>T41+T42+T43+T44+T45+T46</f>
        <v>0</v>
      </c>
    </row>
    <row r="51" spans="2:20" s="19" customFormat="1" ht="27" customHeight="1" x14ac:dyDescent="0.3">
      <c r="B51" s="86" t="s">
        <v>72</v>
      </c>
      <c r="C51" s="31"/>
      <c r="D51" s="32"/>
      <c r="E51" s="33">
        <f>E50+E35</f>
        <v>0</v>
      </c>
      <c r="F51" s="31"/>
      <c r="G51" s="32"/>
      <c r="H51" s="33">
        <f>H35+H50</f>
        <v>0</v>
      </c>
      <c r="I51" s="31"/>
      <c r="J51" s="31"/>
      <c r="K51" s="33">
        <f>K35+K50</f>
        <v>0</v>
      </c>
      <c r="L51" s="31"/>
      <c r="M51" s="32"/>
      <c r="N51" s="109">
        <f>N35+N50</f>
        <v>0</v>
      </c>
      <c r="O51" s="30"/>
      <c r="P51" s="32"/>
      <c r="Q51" s="33">
        <f>Q35+Q50</f>
        <v>0</v>
      </c>
      <c r="R51" s="30"/>
      <c r="S51" s="32"/>
      <c r="T51" s="109">
        <f>T35+T50</f>
        <v>0</v>
      </c>
    </row>
    <row r="52" spans="2:20" s="19" customFormat="1" ht="26.4" customHeight="1" x14ac:dyDescent="0.3">
      <c r="B52" s="34" t="s">
        <v>86</v>
      </c>
      <c r="C52" s="7"/>
      <c r="D52" s="75" t="str">
        <f>IF((E51&lt;D53),"No")</f>
        <v>No</v>
      </c>
      <c r="E52" s="87">
        <f>IF($E$51&lt;$D$53,$E$51)</f>
        <v>0</v>
      </c>
      <c r="F52" s="7"/>
      <c r="G52" s="75" t="str">
        <f>IF((H51&lt;G53),"No")</f>
        <v>No</v>
      </c>
      <c r="H52" s="87">
        <f>IF($H$51&lt;$G$53,$H$51)</f>
        <v>0</v>
      </c>
      <c r="I52" s="7"/>
      <c r="J52" s="75" t="str">
        <f>IF((K51&lt;J53),"No")</f>
        <v>No</v>
      </c>
      <c r="K52" s="87">
        <f>IF(K51&lt;J53,K51)</f>
        <v>0</v>
      </c>
      <c r="L52" s="7"/>
      <c r="M52" s="75" t="str">
        <f>IF((N51&lt;M53),"No")</f>
        <v>No</v>
      </c>
      <c r="N52" s="122">
        <f>IF(N51&lt;M53,N51)</f>
        <v>0</v>
      </c>
      <c r="P52" s="75" t="str">
        <f>IF((Q51&lt;P53),"No")</f>
        <v>No</v>
      </c>
      <c r="Q52" s="87">
        <f>IF(Q51&lt;P53,Q51)</f>
        <v>0</v>
      </c>
      <c r="S52" s="75" t="str">
        <f>IF((T51&lt;S53),"No")</f>
        <v>No</v>
      </c>
      <c r="T52" s="122">
        <f>IF(T51&lt;S53,T51)</f>
        <v>0</v>
      </c>
    </row>
    <row r="53" spans="2:20" s="19" customFormat="1" ht="26.4" customHeight="1" x14ac:dyDescent="0.3">
      <c r="B53" s="19" t="s">
        <v>85</v>
      </c>
      <c r="C53" s="7"/>
      <c r="D53" s="20">
        <v>9800</v>
      </c>
      <c r="E53" s="41" t="b">
        <f>IF($E$51&gt;$D$53,$D$53)</f>
        <v>0</v>
      </c>
      <c r="F53" s="7"/>
      <c r="G53" s="20">
        <v>9800</v>
      </c>
      <c r="H53" s="41" t="b">
        <f>IF($H51&gt;$G$53,$G$53)</f>
        <v>0</v>
      </c>
      <c r="I53" s="7"/>
      <c r="J53" s="20">
        <v>9200</v>
      </c>
      <c r="K53" s="41" t="b">
        <f>IF(K51&gt;J53,J53)</f>
        <v>0</v>
      </c>
      <c r="L53" s="7"/>
      <c r="M53" s="20">
        <v>5000</v>
      </c>
      <c r="N53" s="114" t="b">
        <f>IF(N51&gt;M53,M53)</f>
        <v>0</v>
      </c>
      <c r="P53" s="20">
        <v>9200</v>
      </c>
      <c r="Q53" s="41" t="b">
        <f>IF(Q51&gt;P53,P53)</f>
        <v>0</v>
      </c>
      <c r="S53" s="20">
        <v>5000</v>
      </c>
      <c r="T53" s="114" t="b">
        <f>IF(T51&gt;S53,S53)</f>
        <v>0</v>
      </c>
    </row>
    <row r="54" spans="2:20" s="19" customFormat="1" ht="26.4" customHeight="1" x14ac:dyDescent="0.3">
      <c r="B54" s="27" t="s">
        <v>77</v>
      </c>
      <c r="C54" s="28"/>
      <c r="D54" s="29"/>
      <c r="E54" s="24">
        <f>D6</f>
        <v>0</v>
      </c>
      <c r="F54" s="28"/>
      <c r="G54" s="28"/>
      <c r="H54" s="24">
        <f>G6</f>
        <v>0</v>
      </c>
      <c r="I54" s="28"/>
      <c r="J54" s="28"/>
      <c r="K54" s="24">
        <f>J6</f>
        <v>0</v>
      </c>
      <c r="L54" s="28"/>
      <c r="M54" s="29"/>
      <c r="N54" s="107">
        <f>M6</f>
        <v>0</v>
      </c>
      <c r="O54" s="27"/>
      <c r="P54" s="29"/>
      <c r="Q54" s="24">
        <f>P6</f>
        <v>0</v>
      </c>
      <c r="R54" s="27"/>
      <c r="S54" s="29"/>
      <c r="T54" s="107">
        <f>S6</f>
        <v>0</v>
      </c>
    </row>
    <row r="55" spans="2:20" s="38" customFormat="1" ht="26.4" customHeight="1" thickBot="1" x14ac:dyDescent="0.35">
      <c r="B55" s="36" t="s">
        <v>59</v>
      </c>
      <c r="C55" s="26"/>
      <c r="D55" s="37"/>
      <c r="E55" s="33">
        <f>E52+E53+E54</f>
        <v>0</v>
      </c>
      <c r="F55" s="26"/>
      <c r="G55" s="26"/>
      <c r="H55" s="33">
        <f>H52+H53+H54</f>
        <v>0</v>
      </c>
      <c r="I55" s="26"/>
      <c r="J55" s="26"/>
      <c r="K55" s="33">
        <f>K52+K53+K54</f>
        <v>0</v>
      </c>
      <c r="L55" s="26"/>
      <c r="M55" s="37"/>
      <c r="N55" s="109">
        <f>N52+N53+N54</f>
        <v>0</v>
      </c>
      <c r="O55" s="125" t="s">
        <v>1</v>
      </c>
      <c r="P55" s="123"/>
      <c r="Q55" s="124">
        <f>Q52+Q53+Q54</f>
        <v>0</v>
      </c>
      <c r="R55" s="125"/>
      <c r="S55" s="123"/>
      <c r="T55" s="126">
        <f>T52+T53+T54</f>
        <v>0</v>
      </c>
    </row>
    <row r="56" spans="2:20" ht="16.2" thickTop="1" x14ac:dyDescent="0.3">
      <c r="D56" s="3"/>
      <c r="E56" s="3"/>
      <c r="F56" s="2" t="s">
        <v>1</v>
      </c>
      <c r="H56" s="3"/>
      <c r="K56" s="3"/>
      <c r="M56" s="3"/>
      <c r="N56" s="3"/>
      <c r="P56" s="3"/>
      <c r="Q56" s="3"/>
      <c r="S56" s="3"/>
    </row>
    <row r="57" spans="2:20" x14ac:dyDescent="0.3">
      <c r="B57" s="139" t="s">
        <v>83</v>
      </c>
      <c r="D57" s="3"/>
      <c r="E57" s="3"/>
      <c r="H57" s="3"/>
      <c r="K57" s="3"/>
      <c r="M57" s="3"/>
      <c r="N57" s="3"/>
      <c r="P57" s="3"/>
      <c r="Q57" s="3"/>
      <c r="S57" s="3"/>
    </row>
    <row r="58" spans="2:20" x14ac:dyDescent="0.3">
      <c r="B58" s="140" t="s">
        <v>84</v>
      </c>
      <c r="D58" s="3"/>
      <c r="E58" s="3"/>
      <c r="H58" s="3"/>
      <c r="K58" s="3"/>
      <c r="M58" s="3"/>
      <c r="N58" s="3"/>
      <c r="P58" s="3"/>
      <c r="Q58" s="3"/>
      <c r="S58" s="3"/>
    </row>
    <row r="60" spans="2:20" x14ac:dyDescent="0.3">
      <c r="B60" s="1" t="s">
        <v>25</v>
      </c>
    </row>
    <row r="61" spans="2:20" x14ac:dyDescent="0.3">
      <c r="B61" s="1" t="s">
        <v>22</v>
      </c>
    </row>
    <row r="63" spans="2:20" x14ac:dyDescent="0.3">
      <c r="B63" s="1" t="s">
        <v>42</v>
      </c>
    </row>
    <row r="64" spans="2:20" x14ac:dyDescent="0.3">
      <c r="B64" s="1" t="s">
        <v>43</v>
      </c>
    </row>
    <row r="66" spans="2:2" x14ac:dyDescent="0.3">
      <c r="B66" s="1" t="s">
        <v>40</v>
      </c>
    </row>
    <row r="67" spans="2:2" x14ac:dyDescent="0.3">
      <c r="B67" s="1" t="s">
        <v>41</v>
      </c>
    </row>
    <row r="69" spans="2:2" x14ac:dyDescent="0.3">
      <c r="B69" s="1" t="s">
        <v>29</v>
      </c>
    </row>
    <row r="70" spans="2:2" x14ac:dyDescent="0.3">
      <c r="B70" s="1" t="s">
        <v>30</v>
      </c>
    </row>
    <row r="71" spans="2:2" x14ac:dyDescent="0.3">
      <c r="B71" s="1" t="s">
        <v>31</v>
      </c>
    </row>
    <row r="73" spans="2:2" x14ac:dyDescent="0.3">
      <c r="B73" s="1" t="s">
        <v>34</v>
      </c>
    </row>
    <row r="74" spans="2:2" x14ac:dyDescent="0.3">
      <c r="B74" s="1" t="s">
        <v>35</v>
      </c>
    </row>
    <row r="76" spans="2:2" x14ac:dyDescent="0.3">
      <c r="B76" s="1" t="s">
        <v>54</v>
      </c>
    </row>
    <row r="77" spans="2:2" x14ac:dyDescent="0.3">
      <c r="B77" s="1" t="s">
        <v>55</v>
      </c>
    </row>
    <row r="78" spans="2:2" x14ac:dyDescent="0.3">
      <c r="B78" s="1" t="s">
        <v>56</v>
      </c>
    </row>
  </sheetData>
  <sheetProtection algorithmName="SHA-512" hashValue="XAfkbydUMDNH0YFLQjdsTV1NApe2vTZNP6xuTV/Iw4lF0XWBP6TpbIGL6Zdh309JftOq8eWIr81HqbWdqvOqwQ==" saltValue="RJAxdgwSHliXWwEw7dcQMw==" spinCount="100000" sheet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Knauss</dc:creator>
  <cp:lastModifiedBy>Kevin Knauss</cp:lastModifiedBy>
  <dcterms:created xsi:type="dcterms:W3CDTF">2025-11-10T17:00:36Z</dcterms:created>
  <dcterms:modified xsi:type="dcterms:W3CDTF">2025-11-24T17:41:51Z</dcterms:modified>
</cp:coreProperties>
</file>